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 AUTOCAD\13 MŠ Doubrava\Export kotelna MŠ\"/>
    </mc:Choice>
  </mc:AlternateContent>
  <bookViews>
    <workbookView xWindow="0" yWindow="0" windowWidth="9660" windowHeight="5496" activeTab="3"/>
  </bookViews>
  <sheets>
    <sheet name="Stavební rozpočet" sheetId="1" r:id="rId1"/>
    <sheet name="Stavební rozpočet - součet" sheetId="2" r:id="rId2"/>
    <sheet name="Výkaz výměr" sheetId="3" r:id="rId3"/>
    <sheet name="Krycí list rozpočtu" sheetId="4" r:id="rId4"/>
    <sheet name="VORN" sheetId="5" r:id="rId5"/>
  </sheets>
  <definedNames>
    <definedName name="vorn_sum">VORN!$I$36:$I$36</definedName>
  </definedNames>
  <calcPr calcId="152511"/>
</workbook>
</file>

<file path=xl/calcChain.xml><?xml version="1.0" encoding="utf-8"?>
<calcChain xmlns="http://schemas.openxmlformats.org/spreadsheetml/2006/main">
  <c r="C2" i="4" l="1"/>
  <c r="F2" i="4"/>
  <c r="C4" i="4"/>
  <c r="F4" i="4"/>
  <c r="C6" i="4"/>
  <c r="F6" i="4"/>
  <c r="C8" i="4"/>
  <c r="F8" i="4"/>
  <c r="C10" i="4"/>
  <c r="F10" i="4"/>
  <c r="I10" i="4"/>
  <c r="F14" i="4"/>
  <c r="I14" i="4"/>
  <c r="F15" i="4"/>
  <c r="I15" i="4"/>
  <c r="F16" i="4"/>
  <c r="I16" i="4"/>
  <c r="I17" i="4"/>
  <c r="I18" i="4"/>
  <c r="I19" i="4"/>
  <c r="F22" i="4"/>
  <c r="I22" i="4"/>
  <c r="I24" i="4"/>
  <c r="K13" i="1"/>
  <c r="K12" i="1" s="1"/>
  <c r="Y13" i="1"/>
  <c r="AC13" i="1"/>
  <c r="AD13" i="1"/>
  <c r="AE13" i="1"/>
  <c r="AF13" i="1"/>
  <c r="AG13" i="1"/>
  <c r="AI13" i="1"/>
  <c r="AJ13" i="1"/>
  <c r="AN13" i="1"/>
  <c r="I13" i="1" s="1"/>
  <c r="I12" i="1" s="1"/>
  <c r="AO13" i="1"/>
  <c r="J13" i="1" s="1"/>
  <c r="AW13" i="1"/>
  <c r="BC13" i="1"/>
  <c r="BE13" i="1"/>
  <c r="BG13" i="1"/>
  <c r="AA13" i="1" s="1"/>
  <c r="BH13" i="1"/>
  <c r="AB13" i="1" s="1"/>
  <c r="BI13" i="1"/>
  <c r="I15" i="1"/>
  <c r="K15" i="1"/>
  <c r="Y15" i="1"/>
  <c r="AA15" i="1"/>
  <c r="AC15" i="1"/>
  <c r="AD15" i="1"/>
  <c r="AE15" i="1"/>
  <c r="AF15" i="1"/>
  <c r="AG15" i="1"/>
  <c r="AI15" i="1"/>
  <c r="AJ15" i="1"/>
  <c r="AK15" i="1"/>
  <c r="AN15" i="1"/>
  <c r="AO15" i="1"/>
  <c r="AW15" i="1" s="1"/>
  <c r="AV15" i="1"/>
  <c r="BC15" i="1"/>
  <c r="BE15" i="1"/>
  <c r="BG15" i="1"/>
  <c r="BH15" i="1"/>
  <c r="AB15" i="1" s="1"/>
  <c r="BI15" i="1"/>
  <c r="AR16" i="1"/>
  <c r="J17" i="1"/>
  <c r="J16" i="1" s="1"/>
  <c r="K17" i="1"/>
  <c r="K16" i="1" s="1"/>
  <c r="Y17" i="1"/>
  <c r="AB17" i="1"/>
  <c r="AC17" i="1"/>
  <c r="AD17" i="1"/>
  <c r="AE17" i="1"/>
  <c r="AF17" i="1"/>
  <c r="AG17" i="1"/>
  <c r="AI17" i="1"/>
  <c r="AJ17" i="1"/>
  <c r="AS16" i="1" s="1"/>
  <c r="AN17" i="1"/>
  <c r="I17" i="1" s="1"/>
  <c r="I16" i="1" s="1"/>
  <c r="AO17" i="1"/>
  <c r="AW17" i="1"/>
  <c r="BC17" i="1"/>
  <c r="BE17" i="1"/>
  <c r="BG17" i="1"/>
  <c r="AA17" i="1" s="1"/>
  <c r="BH17" i="1"/>
  <c r="BI17" i="1"/>
  <c r="K19" i="1"/>
  <c r="K18" i="1" s="1"/>
  <c r="Y19" i="1"/>
  <c r="AC19" i="1"/>
  <c r="AD19" i="1"/>
  <c r="AE19" i="1"/>
  <c r="AF19" i="1"/>
  <c r="AG19" i="1"/>
  <c r="AI19" i="1"/>
  <c r="AR18" i="1" s="1"/>
  <c r="AJ19" i="1"/>
  <c r="AK19" i="1"/>
  <c r="AN19" i="1"/>
  <c r="I19" i="1" s="1"/>
  <c r="AO19" i="1"/>
  <c r="J19" i="1" s="1"/>
  <c r="J18" i="1" s="1"/>
  <c r="AV19" i="1"/>
  <c r="BC19" i="1"/>
  <c r="BE19" i="1"/>
  <c r="BG19" i="1"/>
  <c r="AA19" i="1" s="1"/>
  <c r="BH19" i="1"/>
  <c r="AB19" i="1" s="1"/>
  <c r="BI19" i="1"/>
  <c r="J21" i="1"/>
  <c r="K21" i="1"/>
  <c r="AK21" i="1" s="1"/>
  <c r="AT18" i="1" s="1"/>
  <c r="Y21" i="1"/>
  <c r="AB21" i="1"/>
  <c r="AC21" i="1"/>
  <c r="AD21" i="1"/>
  <c r="AE21" i="1"/>
  <c r="AF21" i="1"/>
  <c r="AG21" i="1"/>
  <c r="AI21" i="1"/>
  <c r="AJ21" i="1"/>
  <c r="AS18" i="1" s="1"/>
  <c r="AN21" i="1"/>
  <c r="I21" i="1" s="1"/>
  <c r="AO21" i="1"/>
  <c r="AW21" i="1"/>
  <c r="BC21" i="1"/>
  <c r="BE21" i="1"/>
  <c r="BG21" i="1"/>
  <c r="AA21" i="1" s="1"/>
  <c r="BH21" i="1"/>
  <c r="BI21" i="1"/>
  <c r="AS23" i="1"/>
  <c r="AT23" i="1"/>
  <c r="K24" i="1"/>
  <c r="K23" i="1" s="1"/>
  <c r="Y24" i="1"/>
  <c r="AC24" i="1"/>
  <c r="AD24" i="1"/>
  <c r="AE24" i="1"/>
  <c r="AF24" i="1"/>
  <c r="AG24" i="1"/>
  <c r="AI24" i="1"/>
  <c r="AR23" i="1" s="1"/>
  <c r="AJ24" i="1"/>
  <c r="AK24" i="1"/>
  <c r="AN24" i="1"/>
  <c r="I24" i="1" s="1"/>
  <c r="I23" i="1" s="1"/>
  <c r="AO24" i="1"/>
  <c r="J24" i="1" s="1"/>
  <c r="J23" i="1" s="1"/>
  <c r="AV24" i="1"/>
  <c r="BC24" i="1"/>
  <c r="BE24" i="1"/>
  <c r="BG24" i="1"/>
  <c r="AA24" i="1" s="1"/>
  <c r="BH24" i="1"/>
  <c r="AB24" i="1" s="1"/>
  <c r="BI24" i="1"/>
  <c r="I27" i="1"/>
  <c r="K27" i="1"/>
  <c r="AK27" i="1" s="1"/>
  <c r="AT26" i="1" s="1"/>
  <c r="Y27" i="1"/>
  <c r="AA27" i="1"/>
  <c r="AC27" i="1"/>
  <c r="AD27" i="1"/>
  <c r="AE27" i="1"/>
  <c r="AF27" i="1"/>
  <c r="AG27" i="1"/>
  <c r="AI27" i="1"/>
  <c r="AR26" i="1" s="1"/>
  <c r="AJ27" i="1"/>
  <c r="AS26" i="1" s="1"/>
  <c r="AN27" i="1"/>
  <c r="AV27" i="1" s="1"/>
  <c r="AO27" i="1"/>
  <c r="J27" i="1" s="1"/>
  <c r="J26" i="1" s="1"/>
  <c r="AW27" i="1"/>
  <c r="BC27" i="1"/>
  <c r="BE27" i="1"/>
  <c r="BG27" i="1"/>
  <c r="BH27" i="1"/>
  <c r="AB27" i="1" s="1"/>
  <c r="BI27" i="1"/>
  <c r="K29" i="1"/>
  <c r="Y29" i="1"/>
  <c r="AC29" i="1"/>
  <c r="AD29" i="1"/>
  <c r="AE29" i="1"/>
  <c r="AF29" i="1"/>
  <c r="AG29" i="1"/>
  <c r="AI29" i="1"/>
  <c r="AJ29" i="1"/>
  <c r="AK29" i="1"/>
  <c r="AN29" i="1"/>
  <c r="I29" i="1" s="1"/>
  <c r="AO29" i="1"/>
  <c r="J29" i="1" s="1"/>
  <c r="AV29" i="1"/>
  <c r="BC29" i="1"/>
  <c r="BE29" i="1"/>
  <c r="BG29" i="1"/>
  <c r="AA29" i="1" s="1"/>
  <c r="BH29" i="1"/>
  <c r="AB29" i="1" s="1"/>
  <c r="BI29" i="1"/>
  <c r="J30" i="1"/>
  <c r="K30" i="1"/>
  <c r="AK30" i="1" s="1"/>
  <c r="Y30" i="1"/>
  <c r="AB30" i="1"/>
  <c r="AC30" i="1"/>
  <c r="AD30" i="1"/>
  <c r="AE30" i="1"/>
  <c r="AF30" i="1"/>
  <c r="AG30" i="1"/>
  <c r="AI30" i="1"/>
  <c r="AJ30" i="1"/>
  <c r="AN30" i="1"/>
  <c r="I30" i="1" s="1"/>
  <c r="AO30" i="1"/>
  <c r="AW30" i="1"/>
  <c r="BC30" i="1"/>
  <c r="BE30" i="1"/>
  <c r="BG30" i="1"/>
  <c r="AA30" i="1" s="1"/>
  <c r="BH30" i="1"/>
  <c r="BI30" i="1"/>
  <c r="K32" i="1"/>
  <c r="K31" i="1" s="1"/>
  <c r="Y32" i="1"/>
  <c r="AC32" i="1"/>
  <c r="AD32" i="1"/>
  <c r="AE32" i="1"/>
  <c r="AF32" i="1"/>
  <c r="AG32" i="1"/>
  <c r="AI32" i="1"/>
  <c r="AR31" i="1" s="1"/>
  <c r="AJ32" i="1"/>
  <c r="AK32" i="1"/>
  <c r="AT31" i="1" s="1"/>
  <c r="AN32" i="1"/>
  <c r="I32" i="1" s="1"/>
  <c r="AO32" i="1"/>
  <c r="J32" i="1" s="1"/>
  <c r="AV32" i="1"/>
  <c r="BC32" i="1"/>
  <c r="BE32" i="1"/>
  <c r="BG32" i="1"/>
  <c r="AA32" i="1" s="1"/>
  <c r="BH32" i="1"/>
  <c r="AB32" i="1" s="1"/>
  <c r="BI32" i="1"/>
  <c r="I35" i="1"/>
  <c r="J35" i="1"/>
  <c r="K35" i="1"/>
  <c r="AK35" i="1" s="1"/>
  <c r="Y35" i="1"/>
  <c r="AA35" i="1"/>
  <c r="AB35" i="1"/>
  <c r="AC35" i="1"/>
  <c r="AD35" i="1"/>
  <c r="AE35" i="1"/>
  <c r="AF35" i="1"/>
  <c r="AG35" i="1"/>
  <c r="AI35" i="1"/>
  <c r="AJ35" i="1"/>
  <c r="AS31" i="1" s="1"/>
  <c r="AN35" i="1"/>
  <c r="AV35" i="1" s="1"/>
  <c r="AO35" i="1"/>
  <c r="AW35" i="1"/>
  <c r="BC35" i="1"/>
  <c r="BE35" i="1"/>
  <c r="BG35" i="1"/>
  <c r="BH35" i="1"/>
  <c r="BI35" i="1"/>
  <c r="I37" i="1"/>
  <c r="K37" i="1"/>
  <c r="Y37" i="1"/>
  <c r="AA37" i="1"/>
  <c r="AC37" i="1"/>
  <c r="AD37" i="1"/>
  <c r="AE37" i="1"/>
  <c r="AF37" i="1"/>
  <c r="AG37" i="1"/>
  <c r="AI37" i="1"/>
  <c r="AJ37" i="1"/>
  <c r="AK37" i="1"/>
  <c r="AN37" i="1"/>
  <c r="AO37" i="1"/>
  <c r="AW37" i="1" s="1"/>
  <c r="BB37" i="1" s="1"/>
  <c r="AV37" i="1"/>
  <c r="AU37" i="1" s="1"/>
  <c r="BC37" i="1"/>
  <c r="BE37" i="1"/>
  <c r="BG37" i="1"/>
  <c r="BH37" i="1"/>
  <c r="AB37" i="1" s="1"/>
  <c r="BI37" i="1"/>
  <c r="K39" i="1"/>
  <c r="AK39" i="1" s="1"/>
  <c r="Y39" i="1"/>
  <c r="AC39" i="1"/>
  <c r="AD39" i="1"/>
  <c r="AE39" i="1"/>
  <c r="AF39" i="1"/>
  <c r="AG39" i="1"/>
  <c r="AI39" i="1"/>
  <c r="AJ39" i="1"/>
  <c r="AN39" i="1"/>
  <c r="AV39" i="1" s="1"/>
  <c r="AO39" i="1"/>
  <c r="J39" i="1" s="1"/>
  <c r="AW39" i="1"/>
  <c r="BC39" i="1"/>
  <c r="BE39" i="1"/>
  <c r="BG39" i="1"/>
  <c r="AA39" i="1" s="1"/>
  <c r="BH39" i="1"/>
  <c r="AB39" i="1" s="1"/>
  <c r="BI39" i="1"/>
  <c r="J40" i="1"/>
  <c r="K40" i="1"/>
  <c r="Y40" i="1"/>
  <c r="AA40" i="1"/>
  <c r="AB40" i="1"/>
  <c r="AC40" i="1"/>
  <c r="AD40" i="1"/>
  <c r="AE40" i="1"/>
  <c r="AF40" i="1"/>
  <c r="AG40" i="1"/>
  <c r="AI40" i="1"/>
  <c r="AJ40" i="1"/>
  <c r="AK40" i="1"/>
  <c r="AN40" i="1"/>
  <c r="I40" i="1" s="1"/>
  <c r="AO40" i="1"/>
  <c r="AW40" i="1" s="1"/>
  <c r="AV40" i="1"/>
  <c r="AU40" i="1" s="1"/>
  <c r="BC40" i="1"/>
  <c r="BE40" i="1"/>
  <c r="BG40" i="1"/>
  <c r="BH40" i="1"/>
  <c r="BI40" i="1"/>
  <c r="K43" i="1"/>
  <c r="AK43" i="1" s="1"/>
  <c r="AT42" i="1" s="1"/>
  <c r="Y43" i="1"/>
  <c r="AC43" i="1"/>
  <c r="AD43" i="1"/>
  <c r="AE43" i="1"/>
  <c r="AF43" i="1"/>
  <c r="AG43" i="1"/>
  <c r="AI43" i="1"/>
  <c r="AR42" i="1" s="1"/>
  <c r="AJ43" i="1"/>
  <c r="AN43" i="1"/>
  <c r="AV43" i="1" s="1"/>
  <c r="AO43" i="1"/>
  <c r="J43" i="1" s="1"/>
  <c r="AW43" i="1"/>
  <c r="BC43" i="1"/>
  <c r="BE43" i="1"/>
  <c r="BG43" i="1"/>
  <c r="AA43" i="1" s="1"/>
  <c r="BH43" i="1"/>
  <c r="AB43" i="1" s="1"/>
  <c r="BI43" i="1"/>
  <c r="J44" i="1"/>
  <c r="K44" i="1"/>
  <c r="Y44" i="1"/>
  <c r="AB44" i="1"/>
  <c r="AC44" i="1"/>
  <c r="AD44" i="1"/>
  <c r="AE44" i="1"/>
  <c r="AF44" i="1"/>
  <c r="AG44" i="1"/>
  <c r="AI44" i="1"/>
  <c r="AJ44" i="1"/>
  <c r="AK44" i="1"/>
  <c r="AN44" i="1"/>
  <c r="I44" i="1" s="1"/>
  <c r="AO44" i="1"/>
  <c r="AW44" i="1" s="1"/>
  <c r="AV44" i="1"/>
  <c r="AU44" i="1" s="1"/>
  <c r="BC44" i="1"/>
  <c r="BE44" i="1"/>
  <c r="BG44" i="1"/>
  <c r="AA44" i="1" s="1"/>
  <c r="BH44" i="1"/>
  <c r="BI44" i="1"/>
  <c r="I45" i="1"/>
  <c r="K45" i="1"/>
  <c r="AK45" i="1" s="1"/>
  <c r="Y45" i="1"/>
  <c r="AA45" i="1"/>
  <c r="AC45" i="1"/>
  <c r="AD45" i="1"/>
  <c r="AE45" i="1"/>
  <c r="AF45" i="1"/>
  <c r="AG45" i="1"/>
  <c r="AI45" i="1"/>
  <c r="AJ45" i="1"/>
  <c r="AS42" i="1" s="1"/>
  <c r="AN45" i="1"/>
  <c r="AV45" i="1" s="1"/>
  <c r="AO45" i="1"/>
  <c r="J45" i="1" s="1"/>
  <c r="AW45" i="1"/>
  <c r="BC45" i="1"/>
  <c r="BE45" i="1"/>
  <c r="BG45" i="1"/>
  <c r="BH45" i="1"/>
  <c r="AB45" i="1" s="1"/>
  <c r="BI45" i="1"/>
  <c r="K46" i="1"/>
  <c r="Y46" i="1"/>
  <c r="AC46" i="1"/>
  <c r="AD46" i="1"/>
  <c r="AE46" i="1"/>
  <c r="AF46" i="1"/>
  <c r="AG46" i="1"/>
  <c r="AI46" i="1"/>
  <c r="AJ46" i="1"/>
  <c r="AK46" i="1"/>
  <c r="AN46" i="1"/>
  <c r="I46" i="1" s="1"/>
  <c r="AO46" i="1"/>
  <c r="AW46" i="1" s="1"/>
  <c r="BB46" i="1" s="1"/>
  <c r="AV46" i="1"/>
  <c r="AU46" i="1" s="1"/>
  <c r="BC46" i="1"/>
  <c r="BE46" i="1"/>
  <c r="BG46" i="1"/>
  <c r="AA46" i="1" s="1"/>
  <c r="BH46" i="1"/>
  <c r="AB46" i="1" s="1"/>
  <c r="BI46" i="1"/>
  <c r="K47" i="1"/>
  <c r="AK47" i="1" s="1"/>
  <c r="Y47" i="1"/>
  <c r="AC47" i="1"/>
  <c r="AD47" i="1"/>
  <c r="AE47" i="1"/>
  <c r="AF47" i="1"/>
  <c r="AG47" i="1"/>
  <c r="AI47" i="1"/>
  <c r="AJ47" i="1"/>
  <c r="AN47" i="1"/>
  <c r="AV47" i="1" s="1"/>
  <c r="AO47" i="1"/>
  <c r="J47" i="1" s="1"/>
  <c r="AW47" i="1"/>
  <c r="BC47" i="1"/>
  <c r="BE47" i="1"/>
  <c r="BG47" i="1"/>
  <c r="AA47" i="1" s="1"/>
  <c r="BH47" i="1"/>
  <c r="AB47" i="1" s="1"/>
  <c r="BI47" i="1"/>
  <c r="J48" i="1"/>
  <c r="K48" i="1"/>
  <c r="Y48" i="1"/>
  <c r="AB48" i="1"/>
  <c r="AC48" i="1"/>
  <c r="AD48" i="1"/>
  <c r="AE48" i="1"/>
  <c r="AF48" i="1"/>
  <c r="AG48" i="1"/>
  <c r="AI48" i="1"/>
  <c r="AJ48" i="1"/>
  <c r="AK48" i="1"/>
  <c r="AN48" i="1"/>
  <c r="I48" i="1" s="1"/>
  <c r="AO48" i="1"/>
  <c r="AW48" i="1" s="1"/>
  <c r="AV48" i="1"/>
  <c r="BC48" i="1"/>
  <c r="BE48" i="1"/>
  <c r="BG48" i="1"/>
  <c r="AA48" i="1" s="1"/>
  <c r="BH48" i="1"/>
  <c r="BI48" i="1"/>
  <c r="K50" i="1"/>
  <c r="AK50" i="1" s="1"/>
  <c r="Y50" i="1"/>
  <c r="AC50" i="1"/>
  <c r="AD50" i="1"/>
  <c r="AE50" i="1"/>
  <c r="AF50" i="1"/>
  <c r="AG50" i="1"/>
  <c r="AI50" i="1"/>
  <c r="AR49" i="1" s="1"/>
  <c r="AJ50" i="1"/>
  <c r="AN50" i="1"/>
  <c r="AV50" i="1" s="1"/>
  <c r="AO50" i="1"/>
  <c r="J50" i="1" s="1"/>
  <c r="AW50" i="1"/>
  <c r="BC50" i="1"/>
  <c r="BE50" i="1"/>
  <c r="BG50" i="1"/>
  <c r="AA50" i="1" s="1"/>
  <c r="BH50" i="1"/>
  <c r="AB50" i="1" s="1"/>
  <c r="BI50" i="1"/>
  <c r="I52" i="1"/>
  <c r="J52" i="1"/>
  <c r="K52" i="1"/>
  <c r="Y52" i="1"/>
  <c r="AA52" i="1"/>
  <c r="AB52" i="1"/>
  <c r="AC52" i="1"/>
  <c r="AD52" i="1"/>
  <c r="AE52" i="1"/>
  <c r="AF52" i="1"/>
  <c r="AG52" i="1"/>
  <c r="AI52" i="1"/>
  <c r="AJ52" i="1"/>
  <c r="AK52" i="1"/>
  <c r="AN52" i="1"/>
  <c r="AO52" i="1"/>
  <c r="AW52" i="1" s="1"/>
  <c r="AV52" i="1"/>
  <c r="AU52" i="1" s="1"/>
  <c r="BC52" i="1"/>
  <c r="BE52" i="1"/>
  <c r="BG52" i="1"/>
  <c r="BH52" i="1"/>
  <c r="BI52" i="1"/>
  <c r="I54" i="1"/>
  <c r="K54" i="1"/>
  <c r="AK54" i="1" s="1"/>
  <c r="Y54" i="1"/>
  <c r="AA54" i="1"/>
  <c r="AC54" i="1"/>
  <c r="AD54" i="1"/>
  <c r="AE54" i="1"/>
  <c r="AF54" i="1"/>
  <c r="AG54" i="1"/>
  <c r="AI54" i="1"/>
  <c r="AJ54" i="1"/>
  <c r="AS49" i="1" s="1"/>
  <c r="AN54" i="1"/>
  <c r="AV54" i="1" s="1"/>
  <c r="AO54" i="1"/>
  <c r="J54" i="1" s="1"/>
  <c r="AW54" i="1"/>
  <c r="BC54" i="1"/>
  <c r="BE54" i="1"/>
  <c r="BG54" i="1"/>
  <c r="BH54" i="1"/>
  <c r="AB54" i="1" s="1"/>
  <c r="BI54" i="1"/>
  <c r="K57" i="1"/>
  <c r="Y57" i="1"/>
  <c r="AC57" i="1"/>
  <c r="AD57" i="1"/>
  <c r="AE57" i="1"/>
  <c r="AF57" i="1"/>
  <c r="AG57" i="1"/>
  <c r="AI57" i="1"/>
  <c r="AJ57" i="1"/>
  <c r="AK57" i="1"/>
  <c r="AN57" i="1"/>
  <c r="I57" i="1" s="1"/>
  <c r="AO57" i="1"/>
  <c r="AW57" i="1" s="1"/>
  <c r="BB57" i="1" s="1"/>
  <c r="AV57" i="1"/>
  <c r="BC57" i="1"/>
  <c r="BE57" i="1"/>
  <c r="BG57" i="1"/>
  <c r="AA57" i="1" s="1"/>
  <c r="BH57" i="1"/>
  <c r="AB57" i="1" s="1"/>
  <c r="BI57" i="1"/>
  <c r="J59" i="1"/>
  <c r="K59" i="1"/>
  <c r="AK59" i="1" s="1"/>
  <c r="Y59" i="1"/>
  <c r="AB59" i="1"/>
  <c r="AC59" i="1"/>
  <c r="AD59" i="1"/>
  <c r="AE59" i="1"/>
  <c r="AF59" i="1"/>
  <c r="AG59" i="1"/>
  <c r="AI59" i="1"/>
  <c r="AJ59" i="1"/>
  <c r="AN59" i="1"/>
  <c r="AV59" i="1" s="1"/>
  <c r="AO59" i="1"/>
  <c r="AW59" i="1"/>
  <c r="BC59" i="1"/>
  <c r="BE59" i="1"/>
  <c r="BG59" i="1"/>
  <c r="AA59" i="1" s="1"/>
  <c r="BH59" i="1"/>
  <c r="BI59" i="1"/>
  <c r="I61" i="1"/>
  <c r="J61" i="1"/>
  <c r="K61" i="1"/>
  <c r="Y61" i="1"/>
  <c r="AA61" i="1"/>
  <c r="AB61" i="1"/>
  <c r="AC61" i="1"/>
  <c r="AD61" i="1"/>
  <c r="AE61" i="1"/>
  <c r="AF61" i="1"/>
  <c r="AG61" i="1"/>
  <c r="AI61" i="1"/>
  <c r="AJ61" i="1"/>
  <c r="AK61" i="1"/>
  <c r="AN61" i="1"/>
  <c r="AO61" i="1"/>
  <c r="AW61" i="1" s="1"/>
  <c r="AV61" i="1"/>
  <c r="AU61" i="1" s="1"/>
  <c r="BC61" i="1"/>
  <c r="BE61" i="1"/>
  <c r="BG61" i="1"/>
  <c r="BH61" i="1"/>
  <c r="BI61" i="1"/>
  <c r="AS63" i="1"/>
  <c r="J64" i="1"/>
  <c r="J63" i="1" s="1"/>
  <c r="K64" i="1"/>
  <c r="AK64" i="1" s="1"/>
  <c r="AT63" i="1" s="1"/>
  <c r="Y64" i="1"/>
  <c r="AB64" i="1"/>
  <c r="AC64" i="1"/>
  <c r="AD64" i="1"/>
  <c r="AE64" i="1"/>
  <c r="AF64" i="1"/>
  <c r="AG64" i="1"/>
  <c r="AI64" i="1"/>
  <c r="AJ64" i="1"/>
  <c r="AN64" i="1"/>
  <c r="AV64" i="1" s="1"/>
  <c r="AO64" i="1"/>
  <c r="AW64" i="1"/>
  <c r="BC64" i="1"/>
  <c r="BE64" i="1"/>
  <c r="BG64" i="1"/>
  <c r="AA64" i="1" s="1"/>
  <c r="BH64" i="1"/>
  <c r="BI64" i="1"/>
  <c r="I66" i="1"/>
  <c r="J66" i="1"/>
  <c r="K66" i="1"/>
  <c r="Y66" i="1"/>
  <c r="AA66" i="1"/>
  <c r="AB66" i="1"/>
  <c r="AC66" i="1"/>
  <c r="AD66" i="1"/>
  <c r="AE66" i="1"/>
  <c r="AF66" i="1"/>
  <c r="AG66" i="1"/>
  <c r="AI66" i="1"/>
  <c r="AR63" i="1" s="1"/>
  <c r="AJ66" i="1"/>
  <c r="AK66" i="1"/>
  <c r="AN66" i="1"/>
  <c r="AO66" i="1"/>
  <c r="AW66" i="1" s="1"/>
  <c r="AV66" i="1"/>
  <c r="BC66" i="1"/>
  <c r="BE66" i="1"/>
  <c r="BG66" i="1"/>
  <c r="BH66" i="1"/>
  <c r="BI66" i="1"/>
  <c r="J69" i="1"/>
  <c r="K69" i="1"/>
  <c r="AK69" i="1" s="1"/>
  <c r="Y69" i="1"/>
  <c r="AB69" i="1"/>
  <c r="AC69" i="1"/>
  <c r="AD69" i="1"/>
  <c r="AE69" i="1"/>
  <c r="AF69" i="1"/>
  <c r="AG69" i="1"/>
  <c r="AI69" i="1"/>
  <c r="AJ69" i="1"/>
  <c r="AN69" i="1"/>
  <c r="AV69" i="1" s="1"/>
  <c r="AO69" i="1"/>
  <c r="AW69" i="1"/>
  <c r="BC69" i="1"/>
  <c r="BE69" i="1"/>
  <c r="BG69" i="1"/>
  <c r="AA69" i="1" s="1"/>
  <c r="BH69" i="1"/>
  <c r="BI69" i="1"/>
  <c r="I71" i="1"/>
  <c r="J71" i="1"/>
  <c r="K71" i="1"/>
  <c r="Y71" i="1"/>
  <c r="AA71" i="1"/>
  <c r="AB71" i="1"/>
  <c r="AC71" i="1"/>
  <c r="AD71" i="1"/>
  <c r="AE71" i="1"/>
  <c r="AF71" i="1"/>
  <c r="AG71" i="1"/>
  <c r="AI71" i="1"/>
  <c r="AR68" i="1" s="1"/>
  <c r="AJ71" i="1"/>
  <c r="AK71" i="1"/>
  <c r="AN71" i="1"/>
  <c r="AO71" i="1"/>
  <c r="AW71" i="1" s="1"/>
  <c r="AV71" i="1"/>
  <c r="BC71" i="1"/>
  <c r="BE71" i="1"/>
  <c r="BG71" i="1"/>
  <c r="BH71" i="1"/>
  <c r="BI71" i="1"/>
  <c r="I72" i="1"/>
  <c r="K72" i="1"/>
  <c r="AK72" i="1" s="1"/>
  <c r="Y72" i="1"/>
  <c r="AA72" i="1"/>
  <c r="AC72" i="1"/>
  <c r="AD72" i="1"/>
  <c r="AE72" i="1"/>
  <c r="AF72" i="1"/>
  <c r="AG72" i="1"/>
  <c r="AI72" i="1"/>
  <c r="AJ72" i="1"/>
  <c r="AS68" i="1" s="1"/>
  <c r="AN72" i="1"/>
  <c r="AV72" i="1" s="1"/>
  <c r="AO72" i="1"/>
  <c r="J72" i="1" s="1"/>
  <c r="BC72" i="1"/>
  <c r="BE72" i="1"/>
  <c r="BG72" i="1"/>
  <c r="BH72" i="1"/>
  <c r="AB72" i="1" s="1"/>
  <c r="BI72" i="1"/>
  <c r="K74" i="1"/>
  <c r="AK74" i="1" s="1"/>
  <c r="Y74" i="1"/>
  <c r="AC74" i="1"/>
  <c r="AD74" i="1"/>
  <c r="AE74" i="1"/>
  <c r="AF74" i="1"/>
  <c r="AG74" i="1"/>
  <c r="AI74" i="1"/>
  <c r="AJ74" i="1"/>
  <c r="AN74" i="1"/>
  <c r="I74" i="1" s="1"/>
  <c r="AO74" i="1"/>
  <c r="BH74" i="1" s="1"/>
  <c r="AB74" i="1" s="1"/>
  <c r="BC74" i="1"/>
  <c r="BE74" i="1"/>
  <c r="BG74" i="1"/>
  <c r="AA74" i="1" s="1"/>
  <c r="BI74" i="1"/>
  <c r="K75" i="1"/>
  <c r="AT75" i="1"/>
  <c r="I76" i="1"/>
  <c r="I75" i="1" s="1"/>
  <c r="K76" i="1"/>
  <c r="AK76" i="1" s="1"/>
  <c r="Y76" i="1"/>
  <c r="AA76" i="1"/>
  <c r="AC76" i="1"/>
  <c r="AD76" i="1"/>
  <c r="AE76" i="1"/>
  <c r="AF76" i="1"/>
  <c r="AG76" i="1"/>
  <c r="AI76" i="1"/>
  <c r="AR75" i="1" s="1"/>
  <c r="AJ76" i="1"/>
  <c r="AS75" i="1" s="1"/>
  <c r="AN76" i="1"/>
  <c r="AV76" i="1" s="1"/>
  <c r="AO76" i="1"/>
  <c r="BC76" i="1"/>
  <c r="BE76" i="1"/>
  <c r="BG76" i="1"/>
  <c r="BH76" i="1"/>
  <c r="AB76" i="1" s="1"/>
  <c r="BI76" i="1"/>
  <c r="K77" i="1"/>
  <c r="AT77" i="1"/>
  <c r="I78" i="1"/>
  <c r="I77" i="1" s="1"/>
  <c r="K78" i="1"/>
  <c r="Y78" i="1"/>
  <c r="AA78" i="1"/>
  <c r="AC78" i="1"/>
  <c r="AD78" i="1"/>
  <c r="AE78" i="1"/>
  <c r="AF78" i="1"/>
  <c r="AG78" i="1"/>
  <c r="AI78" i="1"/>
  <c r="AR77" i="1" s="1"/>
  <c r="AJ78" i="1"/>
  <c r="AS77" i="1" s="1"/>
  <c r="AK78" i="1"/>
  <c r="AN78" i="1"/>
  <c r="AO78" i="1"/>
  <c r="AW78" i="1" s="1"/>
  <c r="BB78" i="1" s="1"/>
  <c r="AV78" i="1"/>
  <c r="BC78" i="1"/>
  <c r="BE78" i="1"/>
  <c r="BG78" i="1"/>
  <c r="BI78" i="1"/>
  <c r="I81" i="1"/>
  <c r="K81" i="1"/>
  <c r="K80" i="1" s="1"/>
  <c r="Y81" i="1"/>
  <c r="AA81" i="1"/>
  <c r="AC81" i="1"/>
  <c r="AD81" i="1"/>
  <c r="AE81" i="1"/>
  <c r="AF81" i="1"/>
  <c r="AG81" i="1"/>
  <c r="AI81" i="1"/>
  <c r="AR80" i="1" s="1"/>
  <c r="AJ81" i="1"/>
  <c r="AS80" i="1" s="1"/>
  <c r="AN81" i="1"/>
  <c r="AV81" i="1" s="1"/>
  <c r="AO81" i="1"/>
  <c r="AW81" i="1" s="1"/>
  <c r="BC81" i="1"/>
  <c r="BE81" i="1"/>
  <c r="BG81" i="1"/>
  <c r="BH81" i="1"/>
  <c r="AB81" i="1" s="1"/>
  <c r="BI81" i="1"/>
  <c r="K82" i="1"/>
  <c r="AK82" i="1" s="1"/>
  <c r="Y82" i="1"/>
  <c r="AC82" i="1"/>
  <c r="AD82" i="1"/>
  <c r="AE82" i="1"/>
  <c r="AF82" i="1"/>
  <c r="AG82" i="1"/>
  <c r="AI82" i="1"/>
  <c r="AJ82" i="1"/>
  <c r="AN82" i="1"/>
  <c r="AV82" i="1" s="1"/>
  <c r="AO82" i="1"/>
  <c r="J82" i="1" s="1"/>
  <c r="AW82" i="1"/>
  <c r="BC82" i="1"/>
  <c r="BE82" i="1"/>
  <c r="BG82" i="1"/>
  <c r="AA82" i="1" s="1"/>
  <c r="BH82" i="1"/>
  <c r="AB82" i="1" s="1"/>
  <c r="BI82" i="1"/>
  <c r="J83" i="1"/>
  <c r="K83" i="1"/>
  <c r="Y83" i="1"/>
  <c r="AB83" i="1"/>
  <c r="AC83" i="1"/>
  <c r="AD83" i="1"/>
  <c r="AE83" i="1"/>
  <c r="AF83" i="1"/>
  <c r="AG83" i="1"/>
  <c r="AI83" i="1"/>
  <c r="AJ83" i="1"/>
  <c r="AK83" i="1"/>
  <c r="AN83" i="1"/>
  <c r="I83" i="1" s="1"/>
  <c r="AO83" i="1"/>
  <c r="AV83" i="1"/>
  <c r="AU83" i="1" s="1"/>
  <c r="AW83" i="1"/>
  <c r="BC83" i="1"/>
  <c r="BE83" i="1"/>
  <c r="BG83" i="1"/>
  <c r="AA83" i="1" s="1"/>
  <c r="BH83" i="1"/>
  <c r="BI83" i="1"/>
  <c r="I84" i="1"/>
  <c r="J84" i="1"/>
  <c r="K84" i="1"/>
  <c r="Y84" i="1"/>
  <c r="AA84" i="1"/>
  <c r="AB84" i="1"/>
  <c r="AC84" i="1"/>
  <c r="AD84" i="1"/>
  <c r="AE84" i="1"/>
  <c r="AF84" i="1"/>
  <c r="AG84" i="1"/>
  <c r="AI84" i="1"/>
  <c r="AJ84" i="1"/>
  <c r="AK84" i="1"/>
  <c r="AN84" i="1"/>
  <c r="AO84" i="1"/>
  <c r="AW84" i="1" s="1"/>
  <c r="AU84" i="1" s="1"/>
  <c r="AV84" i="1"/>
  <c r="BC84" i="1"/>
  <c r="BE84" i="1"/>
  <c r="BG84" i="1"/>
  <c r="BH84" i="1"/>
  <c r="BI84" i="1"/>
  <c r="I85" i="1"/>
  <c r="K85" i="1"/>
  <c r="AK85" i="1" s="1"/>
  <c r="Y85" i="1"/>
  <c r="AA85" i="1"/>
  <c r="AC85" i="1"/>
  <c r="AD85" i="1"/>
  <c r="AE85" i="1"/>
  <c r="AF85" i="1"/>
  <c r="AG85" i="1"/>
  <c r="AI85" i="1"/>
  <c r="AJ85" i="1"/>
  <c r="AN85" i="1"/>
  <c r="AV85" i="1" s="1"/>
  <c r="AO85" i="1"/>
  <c r="AW85" i="1" s="1"/>
  <c r="BC85" i="1"/>
  <c r="BE85" i="1"/>
  <c r="BG85" i="1"/>
  <c r="BH85" i="1"/>
  <c r="AB85" i="1" s="1"/>
  <c r="BI85" i="1"/>
  <c r="K86" i="1"/>
  <c r="AK86" i="1" s="1"/>
  <c r="Y86" i="1"/>
  <c r="AC86" i="1"/>
  <c r="AD86" i="1"/>
  <c r="AE86" i="1"/>
  <c r="AF86" i="1"/>
  <c r="AG86" i="1"/>
  <c r="AI86" i="1"/>
  <c r="AJ86" i="1"/>
  <c r="AN86" i="1"/>
  <c r="AV86" i="1" s="1"/>
  <c r="AO86" i="1"/>
  <c r="J86" i="1" s="1"/>
  <c r="AW86" i="1"/>
  <c r="BC86" i="1"/>
  <c r="BE86" i="1"/>
  <c r="BG86" i="1"/>
  <c r="AA86" i="1" s="1"/>
  <c r="BH86" i="1"/>
  <c r="AB86" i="1" s="1"/>
  <c r="BI86" i="1"/>
  <c r="J87" i="1"/>
  <c r="K87" i="1"/>
  <c r="Y87" i="1"/>
  <c r="AB87" i="1"/>
  <c r="AC87" i="1"/>
  <c r="AD87" i="1"/>
  <c r="AE87" i="1"/>
  <c r="AF87" i="1"/>
  <c r="AG87" i="1"/>
  <c r="AI87" i="1"/>
  <c r="AJ87" i="1"/>
  <c r="AK87" i="1"/>
  <c r="AN87" i="1"/>
  <c r="I87" i="1" s="1"/>
  <c r="AO87" i="1"/>
  <c r="AV87" i="1"/>
  <c r="AU87" i="1" s="1"/>
  <c r="AW87" i="1"/>
  <c r="BC87" i="1"/>
  <c r="BE87" i="1"/>
  <c r="BG87" i="1"/>
  <c r="AA87" i="1" s="1"/>
  <c r="BH87" i="1"/>
  <c r="BI87" i="1"/>
  <c r="K89" i="1"/>
  <c r="AK89" i="1" s="1"/>
  <c r="Y89" i="1"/>
  <c r="AA89" i="1"/>
  <c r="AB89" i="1"/>
  <c r="AE89" i="1"/>
  <c r="AF89" i="1"/>
  <c r="AG89" i="1"/>
  <c r="AI89" i="1"/>
  <c r="AJ89" i="1"/>
  <c r="AN89" i="1"/>
  <c r="AV89" i="1" s="1"/>
  <c r="AO89" i="1"/>
  <c r="J89" i="1" s="1"/>
  <c r="AW89" i="1"/>
  <c r="BC89" i="1"/>
  <c r="BE89" i="1"/>
  <c r="BG89" i="1"/>
  <c r="AC89" i="1" s="1"/>
  <c r="BH89" i="1"/>
  <c r="AD89" i="1" s="1"/>
  <c r="BI89" i="1"/>
  <c r="J90" i="1"/>
  <c r="K90" i="1"/>
  <c r="Y90" i="1"/>
  <c r="AA90" i="1"/>
  <c r="AB90" i="1"/>
  <c r="AE90" i="1"/>
  <c r="AF90" i="1"/>
  <c r="AG90" i="1"/>
  <c r="AI90" i="1"/>
  <c r="AJ90" i="1"/>
  <c r="AK90" i="1"/>
  <c r="AN90" i="1"/>
  <c r="I90" i="1" s="1"/>
  <c r="AO90" i="1"/>
  <c r="AV90" i="1"/>
  <c r="AW90" i="1"/>
  <c r="BC90" i="1"/>
  <c r="BE90" i="1"/>
  <c r="BG90" i="1"/>
  <c r="AC90" i="1" s="1"/>
  <c r="BH90" i="1"/>
  <c r="AD90" i="1" s="1"/>
  <c r="BI90" i="1"/>
  <c r="I91" i="1"/>
  <c r="J91" i="1"/>
  <c r="K91" i="1"/>
  <c r="Y91" i="1"/>
  <c r="AA91" i="1"/>
  <c r="AB91" i="1"/>
  <c r="AE91" i="1"/>
  <c r="AF91" i="1"/>
  <c r="AG91" i="1"/>
  <c r="AI91" i="1"/>
  <c r="AJ91" i="1"/>
  <c r="AS88" i="1" s="1"/>
  <c r="AK91" i="1"/>
  <c r="AN91" i="1"/>
  <c r="AO91" i="1"/>
  <c r="AW91" i="1" s="1"/>
  <c r="AU91" i="1"/>
  <c r="AV91" i="1"/>
  <c r="BB91" i="1" s="1"/>
  <c r="BC91" i="1"/>
  <c r="BE91" i="1"/>
  <c r="BG91" i="1"/>
  <c r="AC91" i="1" s="1"/>
  <c r="BH91" i="1"/>
  <c r="AD91" i="1" s="1"/>
  <c r="BI91" i="1"/>
  <c r="I92" i="1"/>
  <c r="K92" i="1"/>
  <c r="AK92" i="1" s="1"/>
  <c r="Y92" i="1"/>
  <c r="AA92" i="1"/>
  <c r="AB92" i="1"/>
  <c r="AE92" i="1"/>
  <c r="AF92" i="1"/>
  <c r="AG92" i="1"/>
  <c r="AI92" i="1"/>
  <c r="AJ92" i="1"/>
  <c r="AN92" i="1"/>
  <c r="AV92" i="1" s="1"/>
  <c r="AO92" i="1"/>
  <c r="BC92" i="1"/>
  <c r="BE92" i="1"/>
  <c r="BG92" i="1"/>
  <c r="AC92" i="1" s="1"/>
  <c r="BH92" i="1"/>
  <c r="AD92" i="1" s="1"/>
  <c r="BI92" i="1"/>
  <c r="K93" i="1"/>
  <c r="AK93" i="1" s="1"/>
  <c r="Y93" i="1"/>
  <c r="AA93" i="1"/>
  <c r="AB93" i="1"/>
  <c r="AE93" i="1"/>
  <c r="AF93" i="1"/>
  <c r="AG93" i="1"/>
  <c r="AI93" i="1"/>
  <c r="AJ93" i="1"/>
  <c r="AN93" i="1"/>
  <c r="AO93" i="1"/>
  <c r="J93" i="1" s="1"/>
  <c r="AW93" i="1"/>
  <c r="BC93" i="1"/>
  <c r="BE93" i="1"/>
  <c r="BH93" i="1"/>
  <c r="AD93" i="1" s="1"/>
  <c r="BI93" i="1"/>
  <c r="J94" i="1"/>
  <c r="K94" i="1"/>
  <c r="Y94" i="1"/>
  <c r="AA94" i="1"/>
  <c r="AB94" i="1"/>
  <c r="AE94" i="1"/>
  <c r="AF94" i="1"/>
  <c r="AG94" i="1"/>
  <c r="AI94" i="1"/>
  <c r="AJ94" i="1"/>
  <c r="AK94" i="1"/>
  <c r="AN94" i="1"/>
  <c r="I94" i="1" s="1"/>
  <c r="AO94" i="1"/>
  <c r="AV94" i="1"/>
  <c r="AW94" i="1"/>
  <c r="BC94" i="1"/>
  <c r="BE94" i="1"/>
  <c r="BG94" i="1"/>
  <c r="AC94" i="1" s="1"/>
  <c r="BH94" i="1"/>
  <c r="AD94" i="1" s="1"/>
  <c r="BI94" i="1"/>
  <c r="K96" i="1"/>
  <c r="Y96" i="1"/>
  <c r="AA96" i="1"/>
  <c r="AB96" i="1"/>
  <c r="AD96" i="1"/>
  <c r="AE96" i="1"/>
  <c r="AF96" i="1"/>
  <c r="AG96" i="1"/>
  <c r="AI96" i="1"/>
  <c r="AJ96" i="1"/>
  <c r="AN96" i="1"/>
  <c r="AO96" i="1"/>
  <c r="J96" i="1" s="1"/>
  <c r="AW96" i="1"/>
  <c r="BC96" i="1"/>
  <c r="BE96" i="1"/>
  <c r="BG96" i="1"/>
  <c r="AC96" i="1" s="1"/>
  <c r="BH96" i="1"/>
  <c r="BI96" i="1"/>
  <c r="J97" i="1"/>
  <c r="J95" i="1" s="1"/>
  <c r="K97" i="1"/>
  <c r="AK97" i="1" s="1"/>
  <c r="Y97" i="1"/>
  <c r="AA97" i="1"/>
  <c r="AB97" i="1"/>
  <c r="AE97" i="1"/>
  <c r="AF97" i="1"/>
  <c r="AG97" i="1"/>
  <c r="AI97" i="1"/>
  <c r="AJ97" i="1"/>
  <c r="AN97" i="1"/>
  <c r="I97" i="1" s="1"/>
  <c r="AO97" i="1"/>
  <c r="AW97" i="1"/>
  <c r="BC97" i="1"/>
  <c r="BE97" i="1"/>
  <c r="BH97" i="1"/>
  <c r="AD97" i="1" s="1"/>
  <c r="BI97" i="1"/>
  <c r="I98" i="1"/>
  <c r="J98" i="1"/>
  <c r="K98" i="1"/>
  <c r="Y98" i="1"/>
  <c r="AA98" i="1"/>
  <c r="AB98" i="1"/>
  <c r="AE98" i="1"/>
  <c r="AF98" i="1"/>
  <c r="AG98" i="1"/>
  <c r="AI98" i="1"/>
  <c r="AJ98" i="1"/>
  <c r="AS95" i="1" s="1"/>
  <c r="AK98" i="1"/>
  <c r="AN98" i="1"/>
  <c r="AO98" i="1"/>
  <c r="AW98" i="1" s="1"/>
  <c r="AV98" i="1"/>
  <c r="AU98" i="1" s="1"/>
  <c r="BC98" i="1"/>
  <c r="BE98" i="1"/>
  <c r="BG98" i="1"/>
  <c r="AC98" i="1" s="1"/>
  <c r="BH98" i="1"/>
  <c r="AD98" i="1" s="1"/>
  <c r="BI98" i="1"/>
  <c r="K99" i="1"/>
  <c r="AK99" i="1" s="1"/>
  <c r="Y99" i="1"/>
  <c r="AA99" i="1"/>
  <c r="AB99" i="1"/>
  <c r="AE99" i="1"/>
  <c r="AF99" i="1"/>
  <c r="AG99" i="1"/>
  <c r="AI99" i="1"/>
  <c r="AJ99" i="1"/>
  <c r="AN99" i="1"/>
  <c r="AV99" i="1" s="1"/>
  <c r="AO99" i="1"/>
  <c r="J99" i="1" s="1"/>
  <c r="BC99" i="1"/>
  <c r="BE99" i="1"/>
  <c r="BI99" i="1"/>
  <c r="K100" i="1"/>
  <c r="Y100" i="1"/>
  <c r="AA100" i="1"/>
  <c r="AB100" i="1"/>
  <c r="AE100" i="1"/>
  <c r="AF100" i="1"/>
  <c r="AG100" i="1"/>
  <c r="AI100" i="1"/>
  <c r="AJ100" i="1"/>
  <c r="AK100" i="1"/>
  <c r="AN100" i="1"/>
  <c r="I100" i="1" s="1"/>
  <c r="AO100" i="1"/>
  <c r="J100" i="1" s="1"/>
  <c r="AV100" i="1"/>
  <c r="BC100" i="1"/>
  <c r="BE100" i="1"/>
  <c r="BG100" i="1"/>
  <c r="AC100" i="1" s="1"/>
  <c r="BI100" i="1"/>
  <c r="I101" i="1"/>
  <c r="J101" i="1"/>
  <c r="K101" i="1"/>
  <c r="Y101" i="1"/>
  <c r="AA101" i="1"/>
  <c r="AB101" i="1"/>
  <c r="AE101" i="1"/>
  <c r="AF101" i="1"/>
  <c r="AG101" i="1"/>
  <c r="AI101" i="1"/>
  <c r="AJ101" i="1"/>
  <c r="AK101" i="1"/>
  <c r="AN101" i="1"/>
  <c r="AO101" i="1"/>
  <c r="AV101" i="1"/>
  <c r="BB101" i="1" s="1"/>
  <c r="AW101" i="1"/>
  <c r="BC101" i="1"/>
  <c r="BE101" i="1"/>
  <c r="BG101" i="1"/>
  <c r="AC101" i="1" s="1"/>
  <c r="BH101" i="1"/>
  <c r="AD101" i="1" s="1"/>
  <c r="BI101" i="1"/>
  <c r="I102" i="1"/>
  <c r="J102" i="1"/>
  <c r="K102" i="1"/>
  <c r="Y102" i="1"/>
  <c r="AA102" i="1"/>
  <c r="AB102" i="1"/>
  <c r="AE102" i="1"/>
  <c r="AF102" i="1"/>
  <c r="AG102" i="1"/>
  <c r="AI102" i="1"/>
  <c r="AJ102" i="1"/>
  <c r="AK102" i="1"/>
  <c r="AN102" i="1"/>
  <c r="AO102" i="1"/>
  <c r="AW102" i="1" s="1"/>
  <c r="AV102" i="1"/>
  <c r="AU102" i="1" s="1"/>
  <c r="BB102" i="1"/>
  <c r="BC102" i="1"/>
  <c r="BE102" i="1"/>
  <c r="BG102" i="1"/>
  <c r="AC102" i="1" s="1"/>
  <c r="BH102" i="1"/>
  <c r="AD102" i="1" s="1"/>
  <c r="BI102" i="1"/>
  <c r="K103" i="1"/>
  <c r="AK103" i="1" s="1"/>
  <c r="Y103" i="1"/>
  <c r="AA103" i="1"/>
  <c r="AB103" i="1"/>
  <c r="AC103" i="1"/>
  <c r="AE103" i="1"/>
  <c r="AF103" i="1"/>
  <c r="AG103" i="1"/>
  <c r="AI103" i="1"/>
  <c r="AJ103" i="1"/>
  <c r="AN103" i="1"/>
  <c r="AV103" i="1" s="1"/>
  <c r="AO103" i="1"/>
  <c r="J103" i="1" s="1"/>
  <c r="BC103" i="1"/>
  <c r="BE103" i="1"/>
  <c r="BG103" i="1"/>
  <c r="BI103" i="1"/>
  <c r="I105" i="1"/>
  <c r="J105" i="1"/>
  <c r="K105" i="1"/>
  <c r="Y105" i="1"/>
  <c r="AA105" i="1"/>
  <c r="AB105" i="1"/>
  <c r="AE105" i="1"/>
  <c r="AF105" i="1"/>
  <c r="AG105" i="1"/>
  <c r="AI105" i="1"/>
  <c r="AR104" i="1" s="1"/>
  <c r="AJ105" i="1"/>
  <c r="AK105" i="1"/>
  <c r="AT104" i="1" s="1"/>
  <c r="AN105" i="1"/>
  <c r="AO105" i="1"/>
  <c r="AW105" i="1" s="1"/>
  <c r="AV105" i="1"/>
  <c r="AU105" i="1" s="1"/>
  <c r="BC105" i="1"/>
  <c r="BE105" i="1"/>
  <c r="BG105" i="1"/>
  <c r="AC105" i="1" s="1"/>
  <c r="BH105" i="1"/>
  <c r="AD105" i="1" s="1"/>
  <c r="BI105" i="1"/>
  <c r="K106" i="1"/>
  <c r="AK106" i="1" s="1"/>
  <c r="Y106" i="1"/>
  <c r="AA106" i="1"/>
  <c r="AB106" i="1"/>
  <c r="AE106" i="1"/>
  <c r="AF106" i="1"/>
  <c r="AG106" i="1"/>
  <c r="AI106" i="1"/>
  <c r="AJ106" i="1"/>
  <c r="AN106" i="1"/>
  <c r="AV106" i="1" s="1"/>
  <c r="AO106" i="1"/>
  <c r="J106" i="1" s="1"/>
  <c r="BC106" i="1"/>
  <c r="BE106" i="1"/>
  <c r="BI106" i="1"/>
  <c r="K107" i="1"/>
  <c r="Y107" i="1"/>
  <c r="AA107" i="1"/>
  <c r="AB107" i="1"/>
  <c r="AE107" i="1"/>
  <c r="AF107" i="1"/>
  <c r="AG107" i="1"/>
  <c r="AI107" i="1"/>
  <c r="AJ107" i="1"/>
  <c r="AK107" i="1"/>
  <c r="AN107" i="1"/>
  <c r="I107" i="1" s="1"/>
  <c r="AO107" i="1"/>
  <c r="J107" i="1" s="1"/>
  <c r="AV107" i="1"/>
  <c r="BC107" i="1"/>
  <c r="BE107" i="1"/>
  <c r="BG107" i="1"/>
  <c r="AC107" i="1" s="1"/>
  <c r="BI107" i="1"/>
  <c r="I108" i="1"/>
  <c r="J108" i="1"/>
  <c r="K108" i="1"/>
  <c r="Y108" i="1"/>
  <c r="AA108" i="1"/>
  <c r="AB108" i="1"/>
  <c r="AE108" i="1"/>
  <c r="AF108" i="1"/>
  <c r="AG108" i="1"/>
  <c r="AI108" i="1"/>
  <c r="AJ108" i="1"/>
  <c r="AK108" i="1"/>
  <c r="AN108" i="1"/>
  <c r="AO108" i="1"/>
  <c r="AV108" i="1"/>
  <c r="BB108" i="1" s="1"/>
  <c r="AW108" i="1"/>
  <c r="BC108" i="1"/>
  <c r="BE108" i="1"/>
  <c r="BG108" i="1"/>
  <c r="AC108" i="1" s="1"/>
  <c r="BH108" i="1"/>
  <c r="AD108" i="1" s="1"/>
  <c r="BI108" i="1"/>
  <c r="I109" i="1"/>
  <c r="J109" i="1"/>
  <c r="K109" i="1"/>
  <c r="Y109" i="1"/>
  <c r="AA109" i="1"/>
  <c r="AB109" i="1"/>
  <c r="AE109" i="1"/>
  <c r="AF109" i="1"/>
  <c r="AG109" i="1"/>
  <c r="AI109" i="1"/>
  <c r="AJ109" i="1"/>
  <c r="AK109" i="1"/>
  <c r="AN109" i="1"/>
  <c r="AO109" i="1"/>
  <c r="AW109" i="1" s="1"/>
  <c r="AV109" i="1"/>
  <c r="AU109" i="1" s="1"/>
  <c r="BB109" i="1"/>
  <c r="BC109" i="1"/>
  <c r="BE109" i="1"/>
  <c r="BG109" i="1"/>
  <c r="AC109" i="1" s="1"/>
  <c r="BH109" i="1"/>
  <c r="AD109" i="1" s="1"/>
  <c r="BI109" i="1"/>
  <c r="K110" i="1"/>
  <c r="AK110" i="1" s="1"/>
  <c r="Y110" i="1"/>
  <c r="AA110" i="1"/>
  <c r="AB110" i="1"/>
  <c r="AC110" i="1"/>
  <c r="AE110" i="1"/>
  <c r="AF110" i="1"/>
  <c r="AG110" i="1"/>
  <c r="AI110" i="1"/>
  <c r="AJ110" i="1"/>
  <c r="AN110" i="1"/>
  <c r="AV110" i="1" s="1"/>
  <c r="AO110" i="1"/>
  <c r="J110" i="1" s="1"/>
  <c r="BC110" i="1"/>
  <c r="BE110" i="1"/>
  <c r="BG110" i="1"/>
  <c r="BI110" i="1"/>
  <c r="J111" i="1"/>
  <c r="K111" i="1"/>
  <c r="Y111" i="1"/>
  <c r="AA111" i="1"/>
  <c r="AB111" i="1"/>
  <c r="AE111" i="1"/>
  <c r="AF111" i="1"/>
  <c r="AG111" i="1"/>
  <c r="AI111" i="1"/>
  <c r="AJ111" i="1"/>
  <c r="AK111" i="1"/>
  <c r="AN111" i="1"/>
  <c r="I111" i="1" s="1"/>
  <c r="AO111" i="1"/>
  <c r="AV111" i="1"/>
  <c r="BB111" i="1" s="1"/>
  <c r="AW111" i="1"/>
  <c r="BC111" i="1"/>
  <c r="BE111" i="1"/>
  <c r="BG111" i="1"/>
  <c r="AC111" i="1" s="1"/>
  <c r="BH111" i="1"/>
  <c r="AD111" i="1" s="1"/>
  <c r="BI111" i="1"/>
  <c r="J112" i="1"/>
  <c r="K112" i="1"/>
  <c r="Y112" i="1"/>
  <c r="AA112" i="1"/>
  <c r="AB112" i="1"/>
  <c r="AE112" i="1"/>
  <c r="AF112" i="1"/>
  <c r="AG112" i="1"/>
  <c r="AI112" i="1"/>
  <c r="AJ112" i="1"/>
  <c r="AK112" i="1"/>
  <c r="AN112" i="1"/>
  <c r="I112" i="1" s="1"/>
  <c r="AO112" i="1"/>
  <c r="AW112" i="1"/>
  <c r="BC112" i="1"/>
  <c r="BE112" i="1"/>
  <c r="BH112" i="1"/>
  <c r="AD112" i="1" s="1"/>
  <c r="BI112" i="1"/>
  <c r="I114" i="1"/>
  <c r="J114" i="1"/>
  <c r="K114" i="1"/>
  <c r="Y114" i="1"/>
  <c r="AA114" i="1"/>
  <c r="AB114" i="1"/>
  <c r="AE114" i="1"/>
  <c r="AF114" i="1"/>
  <c r="AG114" i="1"/>
  <c r="AI114" i="1"/>
  <c r="AJ114" i="1"/>
  <c r="AS113" i="1" s="1"/>
  <c r="AK114" i="1"/>
  <c r="AN114" i="1"/>
  <c r="AO114" i="1"/>
  <c r="AV114" i="1"/>
  <c r="AU114" i="1" s="1"/>
  <c r="AW114" i="1"/>
  <c r="BC114" i="1"/>
  <c r="BE114" i="1"/>
  <c r="BG114" i="1"/>
  <c r="AC114" i="1" s="1"/>
  <c r="BH114" i="1"/>
  <c r="AD114" i="1" s="1"/>
  <c r="BI114" i="1"/>
  <c r="I115" i="1"/>
  <c r="K115" i="1"/>
  <c r="Y115" i="1"/>
  <c r="AA115" i="1"/>
  <c r="AB115" i="1"/>
  <c r="AE115" i="1"/>
  <c r="AF115" i="1"/>
  <c r="AG115" i="1"/>
  <c r="AI115" i="1"/>
  <c r="AJ115" i="1"/>
  <c r="AK115" i="1"/>
  <c r="AN115" i="1"/>
  <c r="AO115" i="1"/>
  <c r="J115" i="1" s="1"/>
  <c r="AV115" i="1"/>
  <c r="BC115" i="1"/>
  <c r="BE115" i="1"/>
  <c r="BG115" i="1"/>
  <c r="AC115" i="1" s="1"/>
  <c r="BH115" i="1"/>
  <c r="AD115" i="1" s="1"/>
  <c r="BI115" i="1"/>
  <c r="K116" i="1"/>
  <c r="AK116" i="1" s="1"/>
  <c r="Y116" i="1"/>
  <c r="AA116" i="1"/>
  <c r="AB116" i="1"/>
  <c r="AE116" i="1"/>
  <c r="AF116" i="1"/>
  <c r="AG116" i="1"/>
  <c r="AI116" i="1"/>
  <c r="AR113" i="1" s="1"/>
  <c r="AJ116" i="1"/>
  <c r="AN116" i="1"/>
  <c r="I116" i="1" s="1"/>
  <c r="AO116" i="1"/>
  <c r="AW116" i="1" s="1"/>
  <c r="BC116" i="1"/>
  <c r="BE116" i="1"/>
  <c r="BG116" i="1"/>
  <c r="AC116" i="1" s="1"/>
  <c r="BH116" i="1"/>
  <c r="AD116" i="1" s="1"/>
  <c r="BI116" i="1"/>
  <c r="J117" i="1"/>
  <c r="K117" i="1"/>
  <c r="AK117" i="1" s="1"/>
  <c r="Y117" i="1"/>
  <c r="AA117" i="1"/>
  <c r="AB117" i="1"/>
  <c r="AE117" i="1"/>
  <c r="AF117" i="1"/>
  <c r="AG117" i="1"/>
  <c r="AI117" i="1"/>
  <c r="AJ117" i="1"/>
  <c r="AN117" i="1"/>
  <c r="AV117" i="1" s="1"/>
  <c r="AO117" i="1"/>
  <c r="AW117" i="1"/>
  <c r="BC117" i="1"/>
  <c r="BE117" i="1"/>
  <c r="BG117" i="1"/>
  <c r="AC117" i="1" s="1"/>
  <c r="BH117" i="1"/>
  <c r="AD117" i="1" s="1"/>
  <c r="BI117" i="1"/>
  <c r="I118" i="1"/>
  <c r="J118" i="1"/>
  <c r="K118" i="1"/>
  <c r="Y118" i="1"/>
  <c r="AA118" i="1"/>
  <c r="AB118" i="1"/>
  <c r="AE118" i="1"/>
  <c r="AF118" i="1"/>
  <c r="AG118" i="1"/>
  <c r="AI118" i="1"/>
  <c r="AJ118" i="1"/>
  <c r="AK118" i="1"/>
  <c r="AN118" i="1"/>
  <c r="AO118" i="1"/>
  <c r="AV118" i="1"/>
  <c r="AU118" i="1" s="1"/>
  <c r="AW118" i="1"/>
  <c r="BC118" i="1"/>
  <c r="BE118" i="1"/>
  <c r="BG118" i="1"/>
  <c r="AC118" i="1" s="1"/>
  <c r="BH118" i="1"/>
  <c r="AD118" i="1" s="1"/>
  <c r="BI118" i="1"/>
  <c r="I119" i="1"/>
  <c r="K119" i="1"/>
  <c r="Y119" i="1"/>
  <c r="AA119" i="1"/>
  <c r="AB119" i="1"/>
  <c r="AE119" i="1"/>
  <c r="AF119" i="1"/>
  <c r="AG119" i="1"/>
  <c r="AI119" i="1"/>
  <c r="AJ119" i="1"/>
  <c r="AK119" i="1"/>
  <c r="AN119" i="1"/>
  <c r="AO119" i="1"/>
  <c r="J119" i="1" s="1"/>
  <c r="AV119" i="1"/>
  <c r="BC119" i="1"/>
  <c r="BE119" i="1"/>
  <c r="BG119" i="1"/>
  <c r="AC119" i="1" s="1"/>
  <c r="BH119" i="1"/>
  <c r="AD119" i="1" s="1"/>
  <c r="BI119" i="1"/>
  <c r="K120" i="1"/>
  <c r="AK120" i="1" s="1"/>
  <c r="Y120" i="1"/>
  <c r="AA120" i="1"/>
  <c r="AB120" i="1"/>
  <c r="AE120" i="1"/>
  <c r="AF120" i="1"/>
  <c r="AG120" i="1"/>
  <c r="AI120" i="1"/>
  <c r="AJ120" i="1"/>
  <c r="AN120" i="1"/>
  <c r="I120" i="1" s="1"/>
  <c r="AO120" i="1"/>
  <c r="AW120" i="1" s="1"/>
  <c r="BC120" i="1"/>
  <c r="BE120" i="1"/>
  <c r="BG120" i="1"/>
  <c r="AC120" i="1" s="1"/>
  <c r="BH120" i="1"/>
  <c r="AD120" i="1" s="1"/>
  <c r="BI120" i="1"/>
  <c r="J121" i="1"/>
  <c r="K121" i="1"/>
  <c r="AK121" i="1" s="1"/>
  <c r="Y121" i="1"/>
  <c r="AA121" i="1"/>
  <c r="AB121" i="1"/>
  <c r="AE121" i="1"/>
  <c r="AF121" i="1"/>
  <c r="AG121" i="1"/>
  <c r="AI121" i="1"/>
  <c r="AJ121" i="1"/>
  <c r="AN121" i="1"/>
  <c r="AV121" i="1" s="1"/>
  <c r="AO121" i="1"/>
  <c r="AW121" i="1"/>
  <c r="BC121" i="1"/>
  <c r="BE121" i="1"/>
  <c r="BG121" i="1"/>
  <c r="AC121" i="1" s="1"/>
  <c r="BH121" i="1"/>
  <c r="AD121" i="1" s="1"/>
  <c r="BI121" i="1"/>
  <c r="I122" i="1"/>
  <c r="J122" i="1"/>
  <c r="K122" i="1"/>
  <c r="Y122" i="1"/>
  <c r="AA122" i="1"/>
  <c r="AB122" i="1"/>
  <c r="AE122" i="1"/>
  <c r="AF122" i="1"/>
  <c r="AG122" i="1"/>
  <c r="AI122" i="1"/>
  <c r="AJ122" i="1"/>
  <c r="AK122" i="1"/>
  <c r="AN122" i="1"/>
  <c r="AO122" i="1"/>
  <c r="AV122" i="1"/>
  <c r="AU122" i="1" s="1"/>
  <c r="AW122" i="1"/>
  <c r="BC122" i="1"/>
  <c r="BE122" i="1"/>
  <c r="BG122" i="1"/>
  <c r="AC122" i="1" s="1"/>
  <c r="BH122" i="1"/>
  <c r="AD122" i="1" s="1"/>
  <c r="BI122" i="1"/>
  <c r="I123" i="1"/>
  <c r="K123" i="1"/>
  <c r="Y123" i="1"/>
  <c r="AA123" i="1"/>
  <c r="AB123" i="1"/>
  <c r="AE123" i="1"/>
  <c r="AF123" i="1"/>
  <c r="AG123" i="1"/>
  <c r="AI123" i="1"/>
  <c r="AJ123" i="1"/>
  <c r="AK123" i="1"/>
  <c r="AN123" i="1"/>
  <c r="AO123" i="1"/>
  <c r="J123" i="1" s="1"/>
  <c r="AV123" i="1"/>
  <c r="BC123" i="1"/>
  <c r="BE123" i="1"/>
  <c r="BG123" i="1"/>
  <c r="AC123" i="1" s="1"/>
  <c r="BH123" i="1"/>
  <c r="AD123" i="1" s="1"/>
  <c r="BI123" i="1"/>
  <c r="K124" i="1"/>
  <c r="AK124" i="1" s="1"/>
  <c r="Y124" i="1"/>
  <c r="AA124" i="1"/>
  <c r="AB124" i="1"/>
  <c r="AE124" i="1"/>
  <c r="AF124" i="1"/>
  <c r="AG124" i="1"/>
  <c r="AI124" i="1"/>
  <c r="AJ124" i="1"/>
  <c r="AN124" i="1"/>
  <c r="I124" i="1" s="1"/>
  <c r="AO124" i="1"/>
  <c r="AW124" i="1" s="1"/>
  <c r="BC124" i="1"/>
  <c r="BE124" i="1"/>
  <c r="BG124" i="1"/>
  <c r="AC124" i="1" s="1"/>
  <c r="BH124" i="1"/>
  <c r="AD124" i="1" s="1"/>
  <c r="BI124" i="1"/>
  <c r="J125" i="1"/>
  <c r="K125" i="1"/>
  <c r="AK125" i="1" s="1"/>
  <c r="Y125" i="1"/>
  <c r="AA125" i="1"/>
  <c r="AB125" i="1"/>
  <c r="AE125" i="1"/>
  <c r="AF125" i="1"/>
  <c r="AG125" i="1"/>
  <c r="AI125" i="1"/>
  <c r="AJ125" i="1"/>
  <c r="AN125" i="1"/>
  <c r="AV125" i="1" s="1"/>
  <c r="AO125" i="1"/>
  <c r="AW125" i="1"/>
  <c r="BC125" i="1"/>
  <c r="BE125" i="1"/>
  <c r="BG125" i="1"/>
  <c r="AC125" i="1" s="1"/>
  <c r="BH125" i="1"/>
  <c r="AD125" i="1" s="1"/>
  <c r="BI125" i="1"/>
  <c r="I126" i="1"/>
  <c r="J126" i="1"/>
  <c r="K126" i="1"/>
  <c r="Y126" i="1"/>
  <c r="AA126" i="1"/>
  <c r="AB126" i="1"/>
  <c r="AE126" i="1"/>
  <c r="AF126" i="1"/>
  <c r="AG126" i="1"/>
  <c r="AI126" i="1"/>
  <c r="AJ126" i="1"/>
  <c r="AK126" i="1"/>
  <c r="AN126" i="1"/>
  <c r="AO126" i="1"/>
  <c r="AV126" i="1"/>
  <c r="AU126" i="1" s="1"/>
  <c r="AW126" i="1"/>
  <c r="BC126" i="1"/>
  <c r="BE126" i="1"/>
  <c r="BG126" i="1"/>
  <c r="AC126" i="1" s="1"/>
  <c r="BH126" i="1"/>
  <c r="AD126" i="1" s="1"/>
  <c r="BI126" i="1"/>
  <c r="I127" i="1"/>
  <c r="K127" i="1"/>
  <c r="Y127" i="1"/>
  <c r="AA127" i="1"/>
  <c r="AB127" i="1"/>
  <c r="AE127" i="1"/>
  <c r="AF127" i="1"/>
  <c r="AG127" i="1"/>
  <c r="AI127" i="1"/>
  <c r="AJ127" i="1"/>
  <c r="AK127" i="1"/>
  <c r="AN127" i="1"/>
  <c r="AO127" i="1"/>
  <c r="J127" i="1" s="1"/>
  <c r="AV127" i="1"/>
  <c r="BC127" i="1"/>
  <c r="BE127" i="1"/>
  <c r="BG127" i="1"/>
  <c r="AC127" i="1" s="1"/>
  <c r="BH127" i="1"/>
  <c r="AD127" i="1" s="1"/>
  <c r="BI127" i="1"/>
  <c r="I130" i="1"/>
  <c r="J130" i="1"/>
  <c r="K130" i="1"/>
  <c r="Y130" i="1"/>
  <c r="AA130" i="1"/>
  <c r="AB130" i="1"/>
  <c r="AE130" i="1"/>
  <c r="AF130" i="1"/>
  <c r="AG130" i="1"/>
  <c r="AI130" i="1"/>
  <c r="AJ130" i="1"/>
  <c r="AK130" i="1"/>
  <c r="AN130" i="1"/>
  <c r="AO130" i="1"/>
  <c r="AV130" i="1"/>
  <c r="AU130" i="1" s="1"/>
  <c r="AW130" i="1"/>
  <c r="BC130" i="1"/>
  <c r="BE130" i="1"/>
  <c r="BG130" i="1"/>
  <c r="AC130" i="1" s="1"/>
  <c r="BH130" i="1"/>
  <c r="AD130" i="1" s="1"/>
  <c r="BI130" i="1"/>
  <c r="I131" i="1"/>
  <c r="K131" i="1"/>
  <c r="Y131" i="1"/>
  <c r="AA131" i="1"/>
  <c r="AB131" i="1"/>
  <c r="AE131" i="1"/>
  <c r="AF131" i="1"/>
  <c r="AG131" i="1"/>
  <c r="AI131" i="1"/>
  <c r="AJ131" i="1"/>
  <c r="AK131" i="1"/>
  <c r="AN131" i="1"/>
  <c r="AO131" i="1"/>
  <c r="J131" i="1" s="1"/>
  <c r="AV131" i="1"/>
  <c r="BC131" i="1"/>
  <c r="BE131" i="1"/>
  <c r="BG131" i="1"/>
  <c r="AC131" i="1" s="1"/>
  <c r="BH131" i="1"/>
  <c r="AD131" i="1" s="1"/>
  <c r="BI131" i="1"/>
  <c r="K132" i="1"/>
  <c r="Y132" i="1"/>
  <c r="AA132" i="1"/>
  <c r="AB132" i="1"/>
  <c r="AE132" i="1"/>
  <c r="AF132" i="1"/>
  <c r="AG132" i="1"/>
  <c r="AI132" i="1"/>
  <c r="AJ132" i="1"/>
  <c r="AN132" i="1"/>
  <c r="I132" i="1" s="1"/>
  <c r="AO132" i="1"/>
  <c r="AW132" i="1" s="1"/>
  <c r="BC132" i="1"/>
  <c r="BE132" i="1"/>
  <c r="BG132" i="1"/>
  <c r="AC132" i="1" s="1"/>
  <c r="BH132" i="1"/>
  <c r="AD132" i="1" s="1"/>
  <c r="BI132" i="1"/>
  <c r="J133" i="1"/>
  <c r="K133" i="1"/>
  <c r="AK133" i="1" s="1"/>
  <c r="Y133" i="1"/>
  <c r="AA133" i="1"/>
  <c r="AB133" i="1"/>
  <c r="AE133" i="1"/>
  <c r="AF133" i="1"/>
  <c r="AG133" i="1"/>
  <c r="AI133" i="1"/>
  <c r="AJ133" i="1"/>
  <c r="AN133" i="1"/>
  <c r="AV133" i="1" s="1"/>
  <c r="AO133" i="1"/>
  <c r="AW133" i="1"/>
  <c r="BC133" i="1"/>
  <c r="BE133" i="1"/>
  <c r="BG133" i="1"/>
  <c r="AC133" i="1" s="1"/>
  <c r="BH133" i="1"/>
  <c r="AD133" i="1" s="1"/>
  <c r="BI133" i="1"/>
  <c r="I134" i="1"/>
  <c r="J134" i="1"/>
  <c r="K134" i="1"/>
  <c r="Y134" i="1"/>
  <c r="AA134" i="1"/>
  <c r="AB134" i="1"/>
  <c r="AE134" i="1"/>
  <c r="AF134" i="1"/>
  <c r="AG134" i="1"/>
  <c r="AI134" i="1"/>
  <c r="AJ134" i="1"/>
  <c r="AK134" i="1"/>
  <c r="AN134" i="1"/>
  <c r="AO134" i="1"/>
  <c r="AV134" i="1"/>
  <c r="AU134" i="1" s="1"/>
  <c r="AW134" i="1"/>
  <c r="BC134" i="1"/>
  <c r="BE134" i="1"/>
  <c r="BG134" i="1"/>
  <c r="AC134" i="1" s="1"/>
  <c r="BH134" i="1"/>
  <c r="AD134" i="1" s="1"/>
  <c r="BI134" i="1"/>
  <c r="I135" i="1"/>
  <c r="K135" i="1"/>
  <c r="Y135" i="1"/>
  <c r="AA135" i="1"/>
  <c r="AB135" i="1"/>
  <c r="AE135" i="1"/>
  <c r="AF135" i="1"/>
  <c r="AG135" i="1"/>
  <c r="AI135" i="1"/>
  <c r="AJ135" i="1"/>
  <c r="AK135" i="1"/>
  <c r="AN135" i="1"/>
  <c r="AO135" i="1"/>
  <c r="J135" i="1" s="1"/>
  <c r="AV135" i="1"/>
  <c r="BC135" i="1"/>
  <c r="BE135" i="1"/>
  <c r="BG135" i="1"/>
  <c r="AC135" i="1" s="1"/>
  <c r="BH135" i="1"/>
  <c r="AD135" i="1" s="1"/>
  <c r="BI135" i="1"/>
  <c r="K137" i="1"/>
  <c r="AK137" i="1" s="1"/>
  <c r="Y137" i="1"/>
  <c r="AA137" i="1"/>
  <c r="AB137" i="1"/>
  <c r="AE137" i="1"/>
  <c r="AF137" i="1"/>
  <c r="AG137" i="1"/>
  <c r="AI137" i="1"/>
  <c r="AJ137" i="1"/>
  <c r="AN137" i="1"/>
  <c r="I137" i="1" s="1"/>
  <c r="AO137" i="1"/>
  <c r="AW137" i="1" s="1"/>
  <c r="BC137" i="1"/>
  <c r="BE137" i="1"/>
  <c r="BG137" i="1"/>
  <c r="AC137" i="1" s="1"/>
  <c r="BH137" i="1"/>
  <c r="AD137" i="1" s="1"/>
  <c r="BI137" i="1"/>
  <c r="J138" i="1"/>
  <c r="K138" i="1"/>
  <c r="AK138" i="1" s="1"/>
  <c r="Y138" i="1"/>
  <c r="AA138" i="1"/>
  <c r="AB138" i="1"/>
  <c r="AE138" i="1"/>
  <c r="AF138" i="1"/>
  <c r="AG138" i="1"/>
  <c r="AI138" i="1"/>
  <c r="AJ138" i="1"/>
  <c r="AN138" i="1"/>
  <c r="AV138" i="1" s="1"/>
  <c r="AO138" i="1"/>
  <c r="AW138" i="1"/>
  <c r="BC138" i="1"/>
  <c r="BE138" i="1"/>
  <c r="BG138" i="1"/>
  <c r="AC138" i="1" s="1"/>
  <c r="BH138" i="1"/>
  <c r="AD138" i="1" s="1"/>
  <c r="BI138" i="1"/>
  <c r="I139" i="1"/>
  <c r="J139" i="1"/>
  <c r="K139" i="1"/>
  <c r="Y139" i="1"/>
  <c r="AA139" i="1"/>
  <c r="AB139" i="1"/>
  <c r="AE139" i="1"/>
  <c r="AF139" i="1"/>
  <c r="AG139" i="1"/>
  <c r="AI139" i="1"/>
  <c r="AJ139" i="1"/>
  <c r="AK139" i="1"/>
  <c r="AN139" i="1"/>
  <c r="AO139" i="1"/>
  <c r="AV139" i="1"/>
  <c r="AU139" i="1" s="1"/>
  <c r="AW139" i="1"/>
  <c r="BC139" i="1"/>
  <c r="BE139" i="1"/>
  <c r="BG139" i="1"/>
  <c r="AC139" i="1" s="1"/>
  <c r="BH139" i="1"/>
  <c r="AD139" i="1" s="1"/>
  <c r="BI139" i="1"/>
  <c r="I140" i="1"/>
  <c r="K140" i="1"/>
  <c r="Y140" i="1"/>
  <c r="AA140" i="1"/>
  <c r="AB140" i="1"/>
  <c r="AE140" i="1"/>
  <c r="AF140" i="1"/>
  <c r="AG140" i="1"/>
  <c r="AI140" i="1"/>
  <c r="AJ140" i="1"/>
  <c r="AK140" i="1"/>
  <c r="AN140" i="1"/>
  <c r="AO140" i="1"/>
  <c r="J140" i="1" s="1"/>
  <c r="AV140" i="1"/>
  <c r="BC140" i="1"/>
  <c r="BE140" i="1"/>
  <c r="BG140" i="1"/>
  <c r="AC140" i="1" s="1"/>
  <c r="BH140" i="1"/>
  <c r="AD140" i="1" s="1"/>
  <c r="BI140" i="1"/>
  <c r="K141" i="1"/>
  <c r="AK141" i="1" s="1"/>
  <c r="Y141" i="1"/>
  <c r="AA141" i="1"/>
  <c r="AB141" i="1"/>
  <c r="AE141" i="1"/>
  <c r="AF141" i="1"/>
  <c r="AG141" i="1"/>
  <c r="AI141" i="1"/>
  <c r="AJ141" i="1"/>
  <c r="AN141" i="1"/>
  <c r="I141" i="1" s="1"/>
  <c r="AO141" i="1"/>
  <c r="AW141" i="1" s="1"/>
  <c r="BC141" i="1"/>
  <c r="BE141" i="1"/>
  <c r="BG141" i="1"/>
  <c r="AC141" i="1" s="1"/>
  <c r="BH141" i="1"/>
  <c r="AD141" i="1" s="1"/>
  <c r="BI141" i="1"/>
  <c r="J142" i="1"/>
  <c r="K142" i="1"/>
  <c r="AK142" i="1" s="1"/>
  <c r="Y142" i="1"/>
  <c r="AA142" i="1"/>
  <c r="AB142" i="1"/>
  <c r="AE142" i="1"/>
  <c r="AF142" i="1"/>
  <c r="AG142" i="1"/>
  <c r="AI142" i="1"/>
  <c r="AJ142" i="1"/>
  <c r="AN142" i="1"/>
  <c r="AV142" i="1" s="1"/>
  <c r="AO142" i="1"/>
  <c r="AW142" i="1"/>
  <c r="BC142" i="1"/>
  <c r="BE142" i="1"/>
  <c r="BG142" i="1"/>
  <c r="AC142" i="1" s="1"/>
  <c r="BH142" i="1"/>
  <c r="AD142" i="1" s="1"/>
  <c r="BI142" i="1"/>
  <c r="I143" i="1"/>
  <c r="J143" i="1"/>
  <c r="K143" i="1"/>
  <c r="Y143" i="1"/>
  <c r="AA143" i="1"/>
  <c r="AB143" i="1"/>
  <c r="AE143" i="1"/>
  <c r="AF143" i="1"/>
  <c r="AG143" i="1"/>
  <c r="AI143" i="1"/>
  <c r="AJ143" i="1"/>
  <c r="AK143" i="1"/>
  <c r="AN143" i="1"/>
  <c r="AO143" i="1"/>
  <c r="AV143" i="1"/>
  <c r="AU143" i="1" s="1"/>
  <c r="AW143" i="1"/>
  <c r="BC143" i="1"/>
  <c r="BE143" i="1"/>
  <c r="BG143" i="1"/>
  <c r="AC143" i="1" s="1"/>
  <c r="BH143" i="1"/>
  <c r="AD143" i="1" s="1"/>
  <c r="BI143" i="1"/>
  <c r="I144" i="1"/>
  <c r="K144" i="1"/>
  <c r="Y144" i="1"/>
  <c r="AA144" i="1"/>
  <c r="AB144" i="1"/>
  <c r="AE144" i="1"/>
  <c r="AF144" i="1"/>
  <c r="AG144" i="1"/>
  <c r="AI144" i="1"/>
  <c r="AJ144" i="1"/>
  <c r="AK144" i="1"/>
  <c r="AN144" i="1"/>
  <c r="AO144" i="1"/>
  <c r="J144" i="1" s="1"/>
  <c r="AV144" i="1"/>
  <c r="BC144" i="1"/>
  <c r="BE144" i="1"/>
  <c r="BG144" i="1"/>
  <c r="AC144" i="1" s="1"/>
  <c r="BH144" i="1"/>
  <c r="AD144" i="1" s="1"/>
  <c r="BI144" i="1"/>
  <c r="K145" i="1"/>
  <c r="AK145" i="1" s="1"/>
  <c r="Y145" i="1"/>
  <c r="AA145" i="1"/>
  <c r="AB145" i="1"/>
  <c r="AE145" i="1"/>
  <c r="AF145" i="1"/>
  <c r="AG145" i="1"/>
  <c r="AI145" i="1"/>
  <c r="AJ145" i="1"/>
  <c r="AN145" i="1"/>
  <c r="I145" i="1" s="1"/>
  <c r="AO145" i="1"/>
  <c r="AW145" i="1" s="1"/>
  <c r="BC145" i="1"/>
  <c r="BE145" i="1"/>
  <c r="BG145" i="1"/>
  <c r="AC145" i="1" s="1"/>
  <c r="BH145" i="1"/>
  <c r="AD145" i="1" s="1"/>
  <c r="BI145" i="1"/>
  <c r="J146" i="1"/>
  <c r="K146" i="1"/>
  <c r="AK146" i="1" s="1"/>
  <c r="Y146" i="1"/>
  <c r="AA146" i="1"/>
  <c r="AB146" i="1"/>
  <c r="AE146" i="1"/>
  <c r="AF146" i="1"/>
  <c r="AG146" i="1"/>
  <c r="AI146" i="1"/>
  <c r="AJ146" i="1"/>
  <c r="AN146" i="1"/>
  <c r="AV146" i="1" s="1"/>
  <c r="AO146" i="1"/>
  <c r="AW146" i="1"/>
  <c r="BC146" i="1"/>
  <c r="BE146" i="1"/>
  <c r="BG146" i="1"/>
  <c r="AC146" i="1" s="1"/>
  <c r="BH146" i="1"/>
  <c r="AD146" i="1" s="1"/>
  <c r="BI146" i="1"/>
  <c r="I147" i="1"/>
  <c r="J147" i="1"/>
  <c r="K147" i="1"/>
  <c r="Y147" i="1"/>
  <c r="AA147" i="1"/>
  <c r="AB147" i="1"/>
  <c r="AE147" i="1"/>
  <c r="AF147" i="1"/>
  <c r="AG147" i="1"/>
  <c r="AI147" i="1"/>
  <c r="AJ147" i="1"/>
  <c r="AK147" i="1"/>
  <c r="AN147" i="1"/>
  <c r="AO147" i="1"/>
  <c r="AV147" i="1"/>
  <c r="AU147" i="1" s="1"/>
  <c r="AW147" i="1"/>
  <c r="BC147" i="1"/>
  <c r="BE147" i="1"/>
  <c r="BG147" i="1"/>
  <c r="AC147" i="1" s="1"/>
  <c r="BH147" i="1"/>
  <c r="AD147" i="1" s="1"/>
  <c r="BI147" i="1"/>
  <c r="I148" i="1"/>
  <c r="K148" i="1"/>
  <c r="Y148" i="1"/>
  <c r="AA148" i="1"/>
  <c r="AB148" i="1"/>
  <c r="AE148" i="1"/>
  <c r="AF148" i="1"/>
  <c r="AG148" i="1"/>
  <c r="AI148" i="1"/>
  <c r="AJ148" i="1"/>
  <c r="AK148" i="1"/>
  <c r="AN148" i="1"/>
  <c r="AO148" i="1"/>
  <c r="J148" i="1" s="1"/>
  <c r="AV148" i="1"/>
  <c r="BC148" i="1"/>
  <c r="BE148" i="1"/>
  <c r="BG148" i="1"/>
  <c r="AC148" i="1" s="1"/>
  <c r="BH148" i="1"/>
  <c r="AD148" i="1" s="1"/>
  <c r="BI148" i="1"/>
  <c r="K149" i="1"/>
  <c r="AK149" i="1" s="1"/>
  <c r="Y149" i="1"/>
  <c r="AA149" i="1"/>
  <c r="AB149" i="1"/>
  <c r="AD149" i="1"/>
  <c r="AE149" i="1"/>
  <c r="AF149" i="1"/>
  <c r="AG149" i="1"/>
  <c r="AI149" i="1"/>
  <c r="AJ149" i="1"/>
  <c r="AN149" i="1"/>
  <c r="AO149" i="1"/>
  <c r="J149" i="1" s="1"/>
  <c r="AW149" i="1"/>
  <c r="BC149" i="1"/>
  <c r="BE149" i="1"/>
  <c r="BG149" i="1"/>
  <c r="AC149" i="1" s="1"/>
  <c r="BH149" i="1"/>
  <c r="BI149" i="1"/>
  <c r="J150" i="1"/>
  <c r="K150" i="1"/>
  <c r="AK150" i="1" s="1"/>
  <c r="Y150" i="1"/>
  <c r="AA150" i="1"/>
  <c r="AB150" i="1"/>
  <c r="AC150" i="1"/>
  <c r="AE150" i="1"/>
  <c r="AF150" i="1"/>
  <c r="AG150" i="1"/>
  <c r="AI150" i="1"/>
  <c r="AJ150" i="1"/>
  <c r="AN150" i="1"/>
  <c r="I150" i="1" s="1"/>
  <c r="AO150" i="1"/>
  <c r="AV150" i="1"/>
  <c r="AW150" i="1"/>
  <c r="BC150" i="1"/>
  <c r="BE150" i="1"/>
  <c r="BG150" i="1"/>
  <c r="BH150" i="1"/>
  <c r="AD150" i="1" s="1"/>
  <c r="BI150" i="1"/>
  <c r="I151" i="1"/>
  <c r="J151" i="1"/>
  <c r="K151" i="1"/>
  <c r="Y151" i="1"/>
  <c r="AA151" i="1"/>
  <c r="AB151" i="1"/>
  <c r="AE151" i="1"/>
  <c r="AF151" i="1"/>
  <c r="AG151" i="1"/>
  <c r="AI151" i="1"/>
  <c r="AJ151" i="1"/>
  <c r="AK151" i="1"/>
  <c r="AN151" i="1"/>
  <c r="AO151" i="1"/>
  <c r="AV151" i="1"/>
  <c r="BB151" i="1" s="1"/>
  <c r="AW151" i="1"/>
  <c r="BC151" i="1"/>
  <c r="BE151" i="1"/>
  <c r="BG151" i="1"/>
  <c r="AC151" i="1" s="1"/>
  <c r="BH151" i="1"/>
  <c r="AD151" i="1" s="1"/>
  <c r="BI151" i="1"/>
  <c r="I152" i="1"/>
  <c r="K152" i="1"/>
  <c r="Y152" i="1"/>
  <c r="AA152" i="1"/>
  <c r="AB152" i="1"/>
  <c r="AE152" i="1"/>
  <c r="AF152" i="1"/>
  <c r="AG152" i="1"/>
  <c r="AI152" i="1"/>
  <c r="AJ152" i="1"/>
  <c r="AK152" i="1"/>
  <c r="AN152" i="1"/>
  <c r="AO152" i="1"/>
  <c r="BH152" i="1" s="1"/>
  <c r="AD152" i="1" s="1"/>
  <c r="AV152" i="1"/>
  <c r="BC152" i="1"/>
  <c r="BE152" i="1"/>
  <c r="BG152" i="1"/>
  <c r="AC152" i="1" s="1"/>
  <c r="BI152" i="1"/>
  <c r="K153" i="1"/>
  <c r="AK153" i="1" s="1"/>
  <c r="Y153" i="1"/>
  <c r="AA153" i="1"/>
  <c r="AB153" i="1"/>
  <c r="AC153" i="1"/>
  <c r="AE153" i="1"/>
  <c r="AF153" i="1"/>
  <c r="AG153" i="1"/>
  <c r="AI153" i="1"/>
  <c r="AJ153" i="1"/>
  <c r="AN153" i="1"/>
  <c r="AO153" i="1"/>
  <c r="J153" i="1" s="1"/>
  <c r="BC153" i="1"/>
  <c r="BE153" i="1"/>
  <c r="BG153" i="1"/>
  <c r="BI153" i="1"/>
  <c r="J154" i="1"/>
  <c r="K154" i="1"/>
  <c r="AK154" i="1" s="1"/>
  <c r="Y154" i="1"/>
  <c r="AA154" i="1"/>
  <c r="AB154" i="1"/>
  <c r="AE154" i="1"/>
  <c r="AF154" i="1"/>
  <c r="AG154" i="1"/>
  <c r="AI154" i="1"/>
  <c r="AJ154" i="1"/>
  <c r="AN154" i="1"/>
  <c r="I154" i="1" s="1"/>
  <c r="AO154" i="1"/>
  <c r="AW154" i="1"/>
  <c r="BC154" i="1"/>
  <c r="BE154" i="1"/>
  <c r="BH154" i="1"/>
  <c r="AD154" i="1" s="1"/>
  <c r="BI154" i="1"/>
  <c r="I155" i="1"/>
  <c r="J155" i="1"/>
  <c r="K155" i="1"/>
  <c r="Y155" i="1"/>
  <c r="AA155" i="1"/>
  <c r="AB155" i="1"/>
  <c r="AE155" i="1"/>
  <c r="AF155" i="1"/>
  <c r="AG155" i="1"/>
  <c r="AI155" i="1"/>
  <c r="AJ155" i="1"/>
  <c r="AK155" i="1"/>
  <c r="AN155" i="1"/>
  <c r="AO155" i="1"/>
  <c r="AV155" i="1"/>
  <c r="BB155" i="1" s="1"/>
  <c r="AW155" i="1"/>
  <c r="BC155" i="1"/>
  <c r="BE155" i="1"/>
  <c r="BG155" i="1"/>
  <c r="AC155" i="1" s="1"/>
  <c r="BH155" i="1"/>
  <c r="AD155" i="1" s="1"/>
  <c r="BI155" i="1"/>
  <c r="I156" i="1"/>
  <c r="K156" i="1"/>
  <c r="Y156" i="1"/>
  <c r="AA156" i="1"/>
  <c r="AB156" i="1"/>
  <c r="AE156" i="1"/>
  <c r="AF156" i="1"/>
  <c r="AG156" i="1"/>
  <c r="AI156" i="1"/>
  <c r="AJ156" i="1"/>
  <c r="AK156" i="1"/>
  <c r="AN156" i="1"/>
  <c r="AO156" i="1"/>
  <c r="AV156" i="1"/>
  <c r="BC156" i="1"/>
  <c r="BE156" i="1"/>
  <c r="BG156" i="1"/>
  <c r="AC156" i="1" s="1"/>
  <c r="BI156" i="1"/>
  <c r="K157" i="1"/>
  <c r="AK157" i="1" s="1"/>
  <c r="Y157" i="1"/>
  <c r="AA157" i="1"/>
  <c r="AB157" i="1"/>
  <c r="AE157" i="1"/>
  <c r="AF157" i="1"/>
  <c r="AG157" i="1"/>
  <c r="AI157" i="1"/>
  <c r="AJ157" i="1"/>
  <c r="AN157" i="1"/>
  <c r="AV157" i="1" s="1"/>
  <c r="AU157" i="1" s="1"/>
  <c r="AO157" i="1"/>
  <c r="J157" i="1" s="1"/>
  <c r="AW157" i="1"/>
  <c r="BB157" i="1" s="1"/>
  <c r="BC157" i="1"/>
  <c r="BE157" i="1"/>
  <c r="BG157" i="1"/>
  <c r="AC157" i="1" s="1"/>
  <c r="BH157" i="1"/>
  <c r="AD157" i="1" s="1"/>
  <c r="BI157" i="1"/>
  <c r="I159" i="1"/>
  <c r="J159" i="1"/>
  <c r="K159" i="1"/>
  <c r="Y159" i="1"/>
  <c r="AA159" i="1"/>
  <c r="AB159" i="1"/>
  <c r="AE159" i="1"/>
  <c r="AF159" i="1"/>
  <c r="AG159" i="1"/>
  <c r="AI159" i="1"/>
  <c r="AR158" i="1" s="1"/>
  <c r="AJ159" i="1"/>
  <c r="AK159" i="1"/>
  <c r="AN159" i="1"/>
  <c r="AO159" i="1"/>
  <c r="AW159" i="1" s="1"/>
  <c r="AV159" i="1"/>
  <c r="AU159" i="1" s="1"/>
  <c r="BB159" i="1"/>
  <c r="BC159" i="1"/>
  <c r="BE159" i="1"/>
  <c r="BG159" i="1"/>
  <c r="AC159" i="1" s="1"/>
  <c r="BH159" i="1"/>
  <c r="AD159" i="1" s="1"/>
  <c r="BI159" i="1"/>
  <c r="K160" i="1"/>
  <c r="AK160" i="1" s="1"/>
  <c r="Y160" i="1"/>
  <c r="AA160" i="1"/>
  <c r="AB160" i="1"/>
  <c r="AE160" i="1"/>
  <c r="AF160" i="1"/>
  <c r="AG160" i="1"/>
  <c r="AI160" i="1"/>
  <c r="AJ160" i="1"/>
  <c r="AN160" i="1"/>
  <c r="AV160" i="1" s="1"/>
  <c r="AO160" i="1"/>
  <c r="J160" i="1" s="1"/>
  <c r="AU160" i="1"/>
  <c r="AW160" i="1"/>
  <c r="BB160" i="1" s="1"/>
  <c r="BC160" i="1"/>
  <c r="BE160" i="1"/>
  <c r="BG160" i="1"/>
  <c r="AC160" i="1" s="1"/>
  <c r="BI160" i="1"/>
  <c r="J161" i="1"/>
  <c r="K161" i="1"/>
  <c r="Y161" i="1"/>
  <c r="AA161" i="1"/>
  <c r="AB161" i="1"/>
  <c r="AE161" i="1"/>
  <c r="AF161" i="1"/>
  <c r="AG161" i="1"/>
  <c r="AI161" i="1"/>
  <c r="AJ161" i="1"/>
  <c r="AK161" i="1"/>
  <c r="AN161" i="1"/>
  <c r="I161" i="1" s="1"/>
  <c r="AO161" i="1"/>
  <c r="AW161" i="1"/>
  <c r="BC161" i="1"/>
  <c r="BE161" i="1"/>
  <c r="BG161" i="1"/>
  <c r="AC161" i="1" s="1"/>
  <c r="BH161" i="1"/>
  <c r="AD161" i="1" s="1"/>
  <c r="BI161" i="1"/>
  <c r="J162" i="1"/>
  <c r="K162" i="1"/>
  <c r="AK162" i="1" s="1"/>
  <c r="Y162" i="1"/>
  <c r="AA162" i="1"/>
  <c r="AB162" i="1"/>
  <c r="AE162" i="1"/>
  <c r="AF162" i="1"/>
  <c r="AG162" i="1"/>
  <c r="AI162" i="1"/>
  <c r="AJ162" i="1"/>
  <c r="AN162" i="1"/>
  <c r="I162" i="1" s="1"/>
  <c r="AO162" i="1"/>
  <c r="AW162" i="1"/>
  <c r="BC162" i="1"/>
  <c r="BE162" i="1"/>
  <c r="BH162" i="1"/>
  <c r="AD162" i="1" s="1"/>
  <c r="BI162" i="1"/>
  <c r="I163" i="1"/>
  <c r="K163" i="1"/>
  <c r="Y163" i="1"/>
  <c r="AA163" i="1"/>
  <c r="AB163" i="1"/>
  <c r="AE163" i="1"/>
  <c r="AF163" i="1"/>
  <c r="AG163" i="1"/>
  <c r="AI163" i="1"/>
  <c r="AJ163" i="1"/>
  <c r="AK163" i="1"/>
  <c r="AN163" i="1"/>
  <c r="AO163" i="1"/>
  <c r="AW163" i="1" s="1"/>
  <c r="BB163" i="1" s="1"/>
  <c r="AV163" i="1"/>
  <c r="BC163" i="1"/>
  <c r="BE163" i="1"/>
  <c r="BG163" i="1"/>
  <c r="AC163" i="1" s="1"/>
  <c r="BI163" i="1"/>
  <c r="K165" i="1"/>
  <c r="AK165" i="1" s="1"/>
  <c r="Y165" i="1"/>
  <c r="AA165" i="1"/>
  <c r="AB165" i="1"/>
  <c r="AE165" i="1"/>
  <c r="AF165" i="1"/>
  <c r="AG165" i="1"/>
  <c r="AI165" i="1"/>
  <c r="AJ165" i="1"/>
  <c r="AN165" i="1"/>
  <c r="AV165" i="1" s="1"/>
  <c r="AU165" i="1" s="1"/>
  <c r="AO165" i="1"/>
  <c r="J165" i="1" s="1"/>
  <c r="AW165" i="1"/>
  <c r="BB165" i="1" s="1"/>
  <c r="BC165" i="1"/>
  <c r="BE165" i="1"/>
  <c r="BG165" i="1"/>
  <c r="AC165" i="1" s="1"/>
  <c r="BH165" i="1"/>
  <c r="AD165" i="1" s="1"/>
  <c r="BI165" i="1"/>
  <c r="K166" i="1"/>
  <c r="AK166" i="1" s="1"/>
  <c r="Y166" i="1"/>
  <c r="AA166" i="1"/>
  <c r="AB166" i="1"/>
  <c r="AE166" i="1"/>
  <c r="AF166" i="1"/>
  <c r="AG166" i="1"/>
  <c r="AI166" i="1"/>
  <c r="AJ166" i="1"/>
  <c r="AN166" i="1"/>
  <c r="I166" i="1" s="1"/>
  <c r="AO166" i="1"/>
  <c r="J166" i="1" s="1"/>
  <c r="BC166" i="1"/>
  <c r="BE166" i="1"/>
  <c r="BH166" i="1"/>
  <c r="AD166" i="1" s="1"/>
  <c r="BI166" i="1"/>
  <c r="J167" i="1"/>
  <c r="K167" i="1"/>
  <c r="AK167" i="1" s="1"/>
  <c r="Y167" i="1"/>
  <c r="AA167" i="1"/>
  <c r="AB167" i="1"/>
  <c r="AE167" i="1"/>
  <c r="AF167" i="1"/>
  <c r="AG167" i="1"/>
  <c r="AI167" i="1"/>
  <c r="AJ167" i="1"/>
  <c r="AN167" i="1"/>
  <c r="I167" i="1" s="1"/>
  <c r="AO167" i="1"/>
  <c r="AW167" i="1"/>
  <c r="BC167" i="1"/>
  <c r="BE167" i="1"/>
  <c r="BH167" i="1"/>
  <c r="AD167" i="1" s="1"/>
  <c r="BI167" i="1"/>
  <c r="I169" i="1"/>
  <c r="K169" i="1"/>
  <c r="Y169" i="1"/>
  <c r="AA169" i="1"/>
  <c r="AB169" i="1"/>
  <c r="AE169" i="1"/>
  <c r="AF169" i="1"/>
  <c r="AG169" i="1"/>
  <c r="AI169" i="1"/>
  <c r="AJ169" i="1"/>
  <c r="AK169" i="1"/>
  <c r="AN169" i="1"/>
  <c r="AO169" i="1"/>
  <c r="AW169" i="1" s="1"/>
  <c r="AU169" i="1"/>
  <c r="AV169" i="1"/>
  <c r="BB169" i="1" s="1"/>
  <c r="BC169" i="1"/>
  <c r="BE169" i="1"/>
  <c r="BG169" i="1"/>
  <c r="AC169" i="1" s="1"/>
  <c r="BI169" i="1"/>
  <c r="K170" i="1"/>
  <c r="AK170" i="1" s="1"/>
  <c r="Y170" i="1"/>
  <c r="AA170" i="1"/>
  <c r="AB170" i="1"/>
  <c r="AE170" i="1"/>
  <c r="AF170" i="1"/>
  <c r="AG170" i="1"/>
  <c r="AI170" i="1"/>
  <c r="AJ170" i="1"/>
  <c r="AN170" i="1"/>
  <c r="AV170" i="1" s="1"/>
  <c r="AU170" i="1" s="1"/>
  <c r="AO170" i="1"/>
  <c r="J170" i="1" s="1"/>
  <c r="AW170" i="1"/>
  <c r="BB170" i="1"/>
  <c r="BC170" i="1"/>
  <c r="BE170" i="1"/>
  <c r="BH170" i="1"/>
  <c r="AD170" i="1" s="1"/>
  <c r="BI170" i="1"/>
  <c r="K171" i="1"/>
  <c r="AK171" i="1" s="1"/>
  <c r="Y171" i="1"/>
  <c r="AA171" i="1"/>
  <c r="AB171" i="1"/>
  <c r="AE171" i="1"/>
  <c r="AF171" i="1"/>
  <c r="AG171" i="1"/>
  <c r="AI171" i="1"/>
  <c r="AJ171" i="1"/>
  <c r="AN171" i="1"/>
  <c r="I171" i="1" s="1"/>
  <c r="AO171" i="1"/>
  <c r="BH171" i="1" s="1"/>
  <c r="AD171" i="1" s="1"/>
  <c r="BC171" i="1"/>
  <c r="BE171" i="1"/>
  <c r="BI171" i="1"/>
  <c r="I172" i="1"/>
  <c r="J172" i="1"/>
  <c r="K172" i="1"/>
  <c r="AK172" i="1" s="1"/>
  <c r="Y172" i="1"/>
  <c r="AA172" i="1"/>
  <c r="AB172" i="1"/>
  <c r="AC172" i="1"/>
  <c r="AE172" i="1"/>
  <c r="AF172" i="1"/>
  <c r="AG172" i="1"/>
  <c r="AI172" i="1"/>
  <c r="AJ172" i="1"/>
  <c r="AN172" i="1"/>
  <c r="AO172" i="1"/>
  <c r="AU172" i="1"/>
  <c r="AV172" i="1"/>
  <c r="BB172" i="1" s="1"/>
  <c r="AW172" i="1"/>
  <c r="BC172" i="1"/>
  <c r="BE172" i="1"/>
  <c r="BG172" i="1"/>
  <c r="BH172" i="1"/>
  <c r="AD172" i="1" s="1"/>
  <c r="BI172" i="1"/>
  <c r="I174" i="1"/>
  <c r="J174" i="1"/>
  <c r="K174" i="1"/>
  <c r="Y174" i="1"/>
  <c r="AA174" i="1"/>
  <c r="AB174" i="1"/>
  <c r="AE174" i="1"/>
  <c r="AF174" i="1"/>
  <c r="AG174" i="1"/>
  <c r="AI174" i="1"/>
  <c r="AJ174" i="1"/>
  <c r="AK174" i="1"/>
  <c r="AN174" i="1"/>
  <c r="AO174" i="1"/>
  <c r="AW174" i="1" s="1"/>
  <c r="AV174" i="1"/>
  <c r="AU174" i="1" s="1"/>
  <c r="BC174" i="1"/>
  <c r="BE174" i="1"/>
  <c r="BG174" i="1"/>
  <c r="AC174" i="1" s="1"/>
  <c r="BH174" i="1"/>
  <c r="AD174" i="1" s="1"/>
  <c r="BI174" i="1"/>
  <c r="I175" i="1"/>
  <c r="J175" i="1"/>
  <c r="K175" i="1"/>
  <c r="Y175" i="1"/>
  <c r="AA175" i="1"/>
  <c r="AB175" i="1"/>
  <c r="AE175" i="1"/>
  <c r="AF175" i="1"/>
  <c r="AG175" i="1"/>
  <c r="AI175" i="1"/>
  <c r="AJ175" i="1"/>
  <c r="AK175" i="1"/>
  <c r="AN175" i="1"/>
  <c r="AO175" i="1"/>
  <c r="AV175" i="1"/>
  <c r="AU175" i="1" s="1"/>
  <c r="AW175" i="1"/>
  <c r="BC175" i="1"/>
  <c r="BE175" i="1"/>
  <c r="BG175" i="1"/>
  <c r="AC175" i="1" s="1"/>
  <c r="BH175" i="1"/>
  <c r="AD175" i="1" s="1"/>
  <c r="BI175" i="1"/>
  <c r="I176" i="1"/>
  <c r="K176" i="1"/>
  <c r="Y176" i="1"/>
  <c r="AA176" i="1"/>
  <c r="AB176" i="1"/>
  <c r="AE176" i="1"/>
  <c r="AF176" i="1"/>
  <c r="AG176" i="1"/>
  <c r="AI176" i="1"/>
  <c r="AJ176" i="1"/>
  <c r="AK176" i="1"/>
  <c r="AN176" i="1"/>
  <c r="AO176" i="1"/>
  <c r="J176" i="1" s="1"/>
  <c r="AV176" i="1"/>
  <c r="BC176" i="1"/>
  <c r="BE176" i="1"/>
  <c r="BG176" i="1"/>
  <c r="AC176" i="1" s="1"/>
  <c r="BH176" i="1"/>
  <c r="AD176" i="1" s="1"/>
  <c r="BI176" i="1"/>
  <c r="K177" i="1"/>
  <c r="AK177" i="1" s="1"/>
  <c r="Y177" i="1"/>
  <c r="AA177" i="1"/>
  <c r="AB177" i="1"/>
  <c r="AE177" i="1"/>
  <c r="AF177" i="1"/>
  <c r="AG177" i="1"/>
  <c r="AI177" i="1"/>
  <c r="AJ177" i="1"/>
  <c r="AN177" i="1"/>
  <c r="I177" i="1" s="1"/>
  <c r="AO177" i="1"/>
  <c r="AW177" i="1" s="1"/>
  <c r="BC177" i="1"/>
  <c r="BE177" i="1"/>
  <c r="BG177" i="1"/>
  <c r="AC177" i="1" s="1"/>
  <c r="BH177" i="1"/>
  <c r="AD177" i="1" s="1"/>
  <c r="BI177" i="1"/>
  <c r="J178" i="1"/>
  <c r="K178" i="1"/>
  <c r="AK178" i="1" s="1"/>
  <c r="Y178" i="1"/>
  <c r="AA178" i="1"/>
  <c r="AB178" i="1"/>
  <c r="AE178" i="1"/>
  <c r="AF178" i="1"/>
  <c r="AG178" i="1"/>
  <c r="AI178" i="1"/>
  <c r="AJ178" i="1"/>
  <c r="AN178" i="1"/>
  <c r="AV178" i="1" s="1"/>
  <c r="AO178" i="1"/>
  <c r="AW178" i="1"/>
  <c r="BC178" i="1"/>
  <c r="BE178" i="1"/>
  <c r="BG178" i="1"/>
  <c r="AC178" i="1" s="1"/>
  <c r="BH178" i="1"/>
  <c r="AD178" i="1" s="1"/>
  <c r="BI178" i="1"/>
  <c r="I179" i="1"/>
  <c r="J179" i="1"/>
  <c r="K179" i="1"/>
  <c r="Y179" i="1"/>
  <c r="AA179" i="1"/>
  <c r="AB179" i="1"/>
  <c r="AE179" i="1"/>
  <c r="AF179" i="1"/>
  <c r="AG179" i="1"/>
  <c r="AI179" i="1"/>
  <c r="AJ179" i="1"/>
  <c r="AK179" i="1"/>
  <c r="AN179" i="1"/>
  <c r="AO179" i="1"/>
  <c r="AV179" i="1"/>
  <c r="AU179" i="1" s="1"/>
  <c r="AW179" i="1"/>
  <c r="BC179" i="1"/>
  <c r="BE179" i="1"/>
  <c r="BG179" i="1"/>
  <c r="AC179" i="1" s="1"/>
  <c r="BH179" i="1"/>
  <c r="AD179" i="1" s="1"/>
  <c r="BI179" i="1"/>
  <c r="J181" i="1"/>
  <c r="K181" i="1"/>
  <c r="AK181" i="1" s="1"/>
  <c r="Y181" i="1"/>
  <c r="AA181" i="1"/>
  <c r="AB181" i="1"/>
  <c r="AE181" i="1"/>
  <c r="AF181" i="1"/>
  <c r="AG181" i="1"/>
  <c r="AI181" i="1"/>
  <c r="AJ181" i="1"/>
  <c r="AN181" i="1"/>
  <c r="AV181" i="1" s="1"/>
  <c r="AO181" i="1"/>
  <c r="AW181" i="1"/>
  <c r="BC181" i="1"/>
  <c r="BE181" i="1"/>
  <c r="BG181" i="1"/>
  <c r="AC181" i="1" s="1"/>
  <c r="BH181" i="1"/>
  <c r="AD181" i="1" s="1"/>
  <c r="BI181" i="1"/>
  <c r="I182" i="1"/>
  <c r="J182" i="1"/>
  <c r="K182" i="1"/>
  <c r="Y182" i="1"/>
  <c r="AA182" i="1"/>
  <c r="AB182" i="1"/>
  <c r="AE182" i="1"/>
  <c r="AF182" i="1"/>
  <c r="AG182" i="1"/>
  <c r="AI182" i="1"/>
  <c r="AJ182" i="1"/>
  <c r="AK182" i="1"/>
  <c r="AN182" i="1"/>
  <c r="AO182" i="1"/>
  <c r="AV182" i="1"/>
  <c r="AU182" i="1" s="1"/>
  <c r="AW182" i="1"/>
  <c r="BC182" i="1"/>
  <c r="BE182" i="1"/>
  <c r="BG182" i="1"/>
  <c r="AC182" i="1" s="1"/>
  <c r="BH182" i="1"/>
  <c r="AD182" i="1" s="1"/>
  <c r="BI182" i="1"/>
  <c r="I183" i="1"/>
  <c r="K183" i="1"/>
  <c r="Y183" i="1"/>
  <c r="AA183" i="1"/>
  <c r="AB183" i="1"/>
  <c r="AE183" i="1"/>
  <c r="AF183" i="1"/>
  <c r="AG183" i="1"/>
  <c r="AI183" i="1"/>
  <c r="AR180" i="1" s="1"/>
  <c r="AJ183" i="1"/>
  <c r="AS180" i="1" s="1"/>
  <c r="AK183" i="1"/>
  <c r="AN183" i="1"/>
  <c r="AO183" i="1"/>
  <c r="J183" i="1" s="1"/>
  <c r="AV183" i="1"/>
  <c r="BC183" i="1"/>
  <c r="BE183" i="1"/>
  <c r="BG183" i="1"/>
  <c r="AC183" i="1" s="1"/>
  <c r="BH183" i="1"/>
  <c r="AD183" i="1" s="1"/>
  <c r="BI183" i="1"/>
  <c r="K184" i="1"/>
  <c r="AK184" i="1" s="1"/>
  <c r="Y184" i="1"/>
  <c r="AA184" i="1"/>
  <c r="AB184" i="1"/>
  <c r="AE184" i="1"/>
  <c r="AF184" i="1"/>
  <c r="AG184" i="1"/>
  <c r="AI184" i="1"/>
  <c r="AJ184" i="1"/>
  <c r="AN184" i="1"/>
  <c r="I184" i="1" s="1"/>
  <c r="AO184" i="1"/>
  <c r="AW184" i="1" s="1"/>
  <c r="BC184" i="1"/>
  <c r="BE184" i="1"/>
  <c r="BG184" i="1"/>
  <c r="AC184" i="1" s="1"/>
  <c r="BH184" i="1"/>
  <c r="AD184" i="1" s="1"/>
  <c r="BI184" i="1"/>
  <c r="J185" i="1"/>
  <c r="K185" i="1"/>
  <c r="AK185" i="1" s="1"/>
  <c r="Y185" i="1"/>
  <c r="AA185" i="1"/>
  <c r="AB185" i="1"/>
  <c r="AE185" i="1"/>
  <c r="AF185" i="1"/>
  <c r="AG185" i="1"/>
  <c r="AI185" i="1"/>
  <c r="AJ185" i="1"/>
  <c r="AN185" i="1"/>
  <c r="AV185" i="1" s="1"/>
  <c r="AO185" i="1"/>
  <c r="AW185" i="1"/>
  <c r="BC185" i="1"/>
  <c r="BE185" i="1"/>
  <c r="BG185" i="1"/>
  <c r="AC185" i="1" s="1"/>
  <c r="BH185" i="1"/>
  <c r="AD185" i="1" s="1"/>
  <c r="BI185" i="1"/>
  <c r="I186" i="1"/>
  <c r="J186" i="1"/>
  <c r="K186" i="1"/>
  <c r="Y186" i="1"/>
  <c r="AA186" i="1"/>
  <c r="AB186" i="1"/>
  <c r="AE186" i="1"/>
  <c r="AF186" i="1"/>
  <c r="AG186" i="1"/>
  <c r="AI186" i="1"/>
  <c r="AJ186" i="1"/>
  <c r="AK186" i="1"/>
  <c r="AN186" i="1"/>
  <c r="AO186" i="1"/>
  <c r="AV186" i="1"/>
  <c r="AU186" i="1" s="1"/>
  <c r="AW186" i="1"/>
  <c r="BC186" i="1"/>
  <c r="BE186" i="1"/>
  <c r="BG186" i="1"/>
  <c r="AC186" i="1" s="1"/>
  <c r="BH186" i="1"/>
  <c r="AD186" i="1" s="1"/>
  <c r="BI186" i="1"/>
  <c r="I187" i="1"/>
  <c r="K187" i="1"/>
  <c r="Y187" i="1"/>
  <c r="AA187" i="1"/>
  <c r="AB187" i="1"/>
  <c r="AE187" i="1"/>
  <c r="AF187" i="1"/>
  <c r="AG187" i="1"/>
  <c r="AI187" i="1"/>
  <c r="AJ187" i="1"/>
  <c r="AK187" i="1"/>
  <c r="AN187" i="1"/>
  <c r="AO187" i="1"/>
  <c r="J187" i="1" s="1"/>
  <c r="AV187" i="1"/>
  <c r="BC187" i="1"/>
  <c r="BE187" i="1"/>
  <c r="BG187" i="1"/>
  <c r="AC187" i="1" s="1"/>
  <c r="BH187" i="1"/>
  <c r="AD187" i="1" s="1"/>
  <c r="BI187" i="1"/>
  <c r="K188" i="1"/>
  <c r="AK188" i="1" s="1"/>
  <c r="Y188" i="1"/>
  <c r="AA188" i="1"/>
  <c r="AB188" i="1"/>
  <c r="AE188" i="1"/>
  <c r="AF188" i="1"/>
  <c r="AG188" i="1"/>
  <c r="AI188" i="1"/>
  <c r="AJ188" i="1"/>
  <c r="AN188" i="1"/>
  <c r="I188" i="1" s="1"/>
  <c r="AO188" i="1"/>
  <c r="AW188" i="1" s="1"/>
  <c r="BC188" i="1"/>
  <c r="BE188" i="1"/>
  <c r="BG188" i="1"/>
  <c r="AC188" i="1" s="1"/>
  <c r="BH188" i="1"/>
  <c r="AD188" i="1" s="1"/>
  <c r="BI188" i="1"/>
  <c r="I190" i="1"/>
  <c r="K190" i="1"/>
  <c r="Y190" i="1"/>
  <c r="AA190" i="1"/>
  <c r="AB190" i="1"/>
  <c r="AE190" i="1"/>
  <c r="AF190" i="1"/>
  <c r="AG190" i="1"/>
  <c r="AI190" i="1"/>
  <c r="AR189" i="1" s="1"/>
  <c r="AJ190" i="1"/>
  <c r="AK190" i="1"/>
  <c r="AN190" i="1"/>
  <c r="AO190" i="1"/>
  <c r="J190" i="1" s="1"/>
  <c r="AV190" i="1"/>
  <c r="BC190" i="1"/>
  <c r="BE190" i="1"/>
  <c r="BG190" i="1"/>
  <c r="AC190" i="1" s="1"/>
  <c r="BH190" i="1"/>
  <c r="AD190" i="1" s="1"/>
  <c r="BI190" i="1"/>
  <c r="K191" i="1"/>
  <c r="AK191" i="1" s="1"/>
  <c r="Y191" i="1"/>
  <c r="AA191" i="1"/>
  <c r="AB191" i="1"/>
  <c r="AE191" i="1"/>
  <c r="AF191" i="1"/>
  <c r="AG191" i="1"/>
  <c r="AI191" i="1"/>
  <c r="AJ191" i="1"/>
  <c r="AN191" i="1"/>
  <c r="I191" i="1" s="1"/>
  <c r="AO191" i="1"/>
  <c r="AW191" i="1" s="1"/>
  <c r="BC191" i="1"/>
  <c r="BE191" i="1"/>
  <c r="BG191" i="1"/>
  <c r="AC191" i="1" s="1"/>
  <c r="BH191" i="1"/>
  <c r="AD191" i="1" s="1"/>
  <c r="BI191" i="1"/>
  <c r="J192" i="1"/>
  <c r="K192" i="1"/>
  <c r="AK192" i="1" s="1"/>
  <c r="Y192" i="1"/>
  <c r="AA192" i="1"/>
  <c r="AB192" i="1"/>
  <c r="AE192" i="1"/>
  <c r="AF192" i="1"/>
  <c r="AG192" i="1"/>
  <c r="AI192" i="1"/>
  <c r="AJ192" i="1"/>
  <c r="AN192" i="1"/>
  <c r="AV192" i="1" s="1"/>
  <c r="AO192" i="1"/>
  <c r="AW192" i="1"/>
  <c r="BC192" i="1"/>
  <c r="BE192" i="1"/>
  <c r="BG192" i="1"/>
  <c r="AC192" i="1" s="1"/>
  <c r="BH192" i="1"/>
  <c r="AD192" i="1" s="1"/>
  <c r="BI192" i="1"/>
  <c r="I193" i="1"/>
  <c r="J193" i="1"/>
  <c r="K193" i="1"/>
  <c r="Y193" i="1"/>
  <c r="AA193" i="1"/>
  <c r="AB193" i="1"/>
  <c r="AE193" i="1"/>
  <c r="AF193" i="1"/>
  <c r="AG193" i="1"/>
  <c r="AI193" i="1"/>
  <c r="AJ193" i="1"/>
  <c r="AK193" i="1"/>
  <c r="AN193" i="1"/>
  <c r="AO193" i="1"/>
  <c r="AV193" i="1"/>
  <c r="AU193" i="1" s="1"/>
  <c r="AW193" i="1"/>
  <c r="BC193" i="1"/>
  <c r="BE193" i="1"/>
  <c r="BG193" i="1"/>
  <c r="AC193" i="1" s="1"/>
  <c r="BH193" i="1"/>
  <c r="AD193" i="1" s="1"/>
  <c r="BI193" i="1"/>
  <c r="I194" i="1"/>
  <c r="K194" i="1"/>
  <c r="Y194" i="1"/>
  <c r="AA194" i="1"/>
  <c r="AB194" i="1"/>
  <c r="AE194" i="1"/>
  <c r="AF194" i="1"/>
  <c r="AG194" i="1"/>
  <c r="AI194" i="1"/>
  <c r="AJ194" i="1"/>
  <c r="AK194" i="1"/>
  <c r="AN194" i="1"/>
  <c r="AO194" i="1"/>
  <c r="J194" i="1" s="1"/>
  <c r="AV194" i="1"/>
  <c r="BC194" i="1"/>
  <c r="BE194" i="1"/>
  <c r="BG194" i="1"/>
  <c r="AC194" i="1" s="1"/>
  <c r="BH194" i="1"/>
  <c r="AD194" i="1" s="1"/>
  <c r="BI194" i="1"/>
  <c r="K195" i="1"/>
  <c r="AK195" i="1" s="1"/>
  <c r="Y195" i="1"/>
  <c r="AA195" i="1"/>
  <c r="AB195" i="1"/>
  <c r="AE195" i="1"/>
  <c r="AF195" i="1"/>
  <c r="AG195" i="1"/>
  <c r="AI195" i="1"/>
  <c r="AJ195" i="1"/>
  <c r="AN195" i="1"/>
  <c r="I195" i="1" s="1"/>
  <c r="AO195" i="1"/>
  <c r="AW195" i="1" s="1"/>
  <c r="BC195" i="1"/>
  <c r="BE195" i="1"/>
  <c r="BG195" i="1"/>
  <c r="AC195" i="1" s="1"/>
  <c r="BH195" i="1"/>
  <c r="AD195" i="1" s="1"/>
  <c r="BI195" i="1"/>
  <c r="J196" i="1"/>
  <c r="K196" i="1"/>
  <c r="AK196" i="1" s="1"/>
  <c r="Y196" i="1"/>
  <c r="AA196" i="1"/>
  <c r="AB196" i="1"/>
  <c r="AE196" i="1"/>
  <c r="AF196" i="1"/>
  <c r="AG196" i="1"/>
  <c r="AI196" i="1"/>
  <c r="AJ196" i="1"/>
  <c r="AN196" i="1"/>
  <c r="AV196" i="1" s="1"/>
  <c r="AO196" i="1"/>
  <c r="AW196" i="1"/>
  <c r="BC196" i="1"/>
  <c r="BE196" i="1"/>
  <c r="BG196" i="1"/>
  <c r="AC196" i="1" s="1"/>
  <c r="BH196" i="1"/>
  <c r="AD196" i="1" s="1"/>
  <c r="BI196" i="1"/>
  <c r="I197" i="1"/>
  <c r="J197" i="1"/>
  <c r="K197" i="1"/>
  <c r="Y197" i="1"/>
  <c r="AA197" i="1"/>
  <c r="AB197" i="1"/>
  <c r="AE197" i="1"/>
  <c r="AF197" i="1"/>
  <c r="AG197" i="1"/>
  <c r="AI197" i="1"/>
  <c r="AJ197" i="1"/>
  <c r="AK197" i="1"/>
  <c r="AN197" i="1"/>
  <c r="AO197" i="1"/>
  <c r="AV197" i="1"/>
  <c r="AU197" i="1" s="1"/>
  <c r="AW197" i="1"/>
  <c r="BC197" i="1"/>
  <c r="BE197" i="1"/>
  <c r="BG197" i="1"/>
  <c r="AC197" i="1" s="1"/>
  <c r="BH197" i="1"/>
  <c r="AD197" i="1" s="1"/>
  <c r="BI197" i="1"/>
  <c r="I198" i="1"/>
  <c r="K198" i="1"/>
  <c r="Y198" i="1"/>
  <c r="AA198" i="1"/>
  <c r="AB198" i="1"/>
  <c r="AE198" i="1"/>
  <c r="AF198" i="1"/>
  <c r="AG198" i="1"/>
  <c r="AI198" i="1"/>
  <c r="AJ198" i="1"/>
  <c r="AK198" i="1"/>
  <c r="AN198" i="1"/>
  <c r="AO198" i="1"/>
  <c r="J198" i="1" s="1"/>
  <c r="AV198" i="1"/>
  <c r="BC198" i="1"/>
  <c r="BE198" i="1"/>
  <c r="BG198" i="1"/>
  <c r="AC198" i="1" s="1"/>
  <c r="BH198" i="1"/>
  <c r="AD198" i="1" s="1"/>
  <c r="BI198" i="1"/>
  <c r="K199" i="1"/>
  <c r="AK199" i="1" s="1"/>
  <c r="Y199" i="1"/>
  <c r="AA199" i="1"/>
  <c r="AB199" i="1"/>
  <c r="AE199" i="1"/>
  <c r="AF199" i="1"/>
  <c r="AG199" i="1"/>
  <c r="AI199" i="1"/>
  <c r="AJ199" i="1"/>
  <c r="AN199" i="1"/>
  <c r="I199" i="1" s="1"/>
  <c r="AO199" i="1"/>
  <c r="AW199" i="1" s="1"/>
  <c r="BC199" i="1"/>
  <c r="BE199" i="1"/>
  <c r="BG199" i="1"/>
  <c r="AC199" i="1" s="1"/>
  <c r="BH199" i="1"/>
  <c r="AD199" i="1" s="1"/>
  <c r="BI199" i="1"/>
  <c r="J200" i="1"/>
  <c r="K200" i="1"/>
  <c r="AK200" i="1" s="1"/>
  <c r="Y200" i="1"/>
  <c r="AA200" i="1"/>
  <c r="AB200" i="1"/>
  <c r="AE200" i="1"/>
  <c r="AF200" i="1"/>
  <c r="AG200" i="1"/>
  <c r="AI200" i="1"/>
  <c r="AJ200" i="1"/>
  <c r="AN200" i="1"/>
  <c r="AV200" i="1" s="1"/>
  <c r="AO200" i="1"/>
  <c r="AW200" i="1"/>
  <c r="BC200" i="1"/>
  <c r="BE200" i="1"/>
  <c r="BG200" i="1"/>
  <c r="AC200" i="1" s="1"/>
  <c r="BH200" i="1"/>
  <c r="AD200" i="1" s="1"/>
  <c r="BI200" i="1"/>
  <c r="I201" i="1"/>
  <c r="J201" i="1"/>
  <c r="K201" i="1"/>
  <c r="Y201" i="1"/>
  <c r="AA201" i="1"/>
  <c r="AB201" i="1"/>
  <c r="AE201" i="1"/>
  <c r="AF201" i="1"/>
  <c r="AG201" i="1"/>
  <c r="AI201" i="1"/>
  <c r="AJ201" i="1"/>
  <c r="AK201" i="1"/>
  <c r="AN201" i="1"/>
  <c r="AO201" i="1"/>
  <c r="AV201" i="1"/>
  <c r="AU201" i="1" s="1"/>
  <c r="AW201" i="1"/>
  <c r="BC201" i="1"/>
  <c r="BE201" i="1"/>
  <c r="BG201" i="1"/>
  <c r="AC201" i="1" s="1"/>
  <c r="BH201" i="1"/>
  <c r="AD201" i="1" s="1"/>
  <c r="BI201" i="1"/>
  <c r="I202" i="1"/>
  <c r="K202" i="1"/>
  <c r="Y202" i="1"/>
  <c r="AA202" i="1"/>
  <c r="AB202" i="1"/>
  <c r="AE202" i="1"/>
  <c r="AF202" i="1"/>
  <c r="AG202" i="1"/>
  <c r="AI202" i="1"/>
  <c r="AJ202" i="1"/>
  <c r="AK202" i="1"/>
  <c r="AN202" i="1"/>
  <c r="AO202" i="1"/>
  <c r="J202" i="1" s="1"/>
  <c r="AV202" i="1"/>
  <c r="BC202" i="1"/>
  <c r="BE202" i="1"/>
  <c r="BG202" i="1"/>
  <c r="AC202" i="1" s="1"/>
  <c r="BH202" i="1"/>
  <c r="AD202" i="1" s="1"/>
  <c r="BI202" i="1"/>
  <c r="K203" i="1"/>
  <c r="AK203" i="1" s="1"/>
  <c r="Y203" i="1"/>
  <c r="AA203" i="1"/>
  <c r="AB203" i="1"/>
  <c r="AE203" i="1"/>
  <c r="AF203" i="1"/>
  <c r="AG203" i="1"/>
  <c r="AI203" i="1"/>
  <c r="AJ203" i="1"/>
  <c r="AN203" i="1"/>
  <c r="I203" i="1" s="1"/>
  <c r="AO203" i="1"/>
  <c r="AW203" i="1" s="1"/>
  <c r="BC203" i="1"/>
  <c r="BE203" i="1"/>
  <c r="BG203" i="1"/>
  <c r="AC203" i="1" s="1"/>
  <c r="BH203" i="1"/>
  <c r="AD203" i="1" s="1"/>
  <c r="BI203" i="1"/>
  <c r="J204" i="1"/>
  <c r="K204" i="1"/>
  <c r="AK204" i="1" s="1"/>
  <c r="Y204" i="1"/>
  <c r="AA204" i="1"/>
  <c r="AB204" i="1"/>
  <c r="AE204" i="1"/>
  <c r="AF204" i="1"/>
  <c r="AG204" i="1"/>
  <c r="AI204" i="1"/>
  <c r="AJ204" i="1"/>
  <c r="AN204" i="1"/>
  <c r="AV204" i="1" s="1"/>
  <c r="AO204" i="1"/>
  <c r="AW204" i="1"/>
  <c r="BC204" i="1"/>
  <c r="BE204" i="1"/>
  <c r="BG204" i="1"/>
  <c r="AC204" i="1" s="1"/>
  <c r="BH204" i="1"/>
  <c r="AD204" i="1" s="1"/>
  <c r="BI204" i="1"/>
  <c r="I205" i="1"/>
  <c r="J205" i="1"/>
  <c r="K205" i="1"/>
  <c r="Y205" i="1"/>
  <c r="AA205" i="1"/>
  <c r="AB205" i="1"/>
  <c r="AE205" i="1"/>
  <c r="AF205" i="1"/>
  <c r="AG205" i="1"/>
  <c r="AI205" i="1"/>
  <c r="AJ205" i="1"/>
  <c r="AK205" i="1"/>
  <c r="AN205" i="1"/>
  <c r="AO205" i="1"/>
  <c r="AV205" i="1"/>
  <c r="AU205" i="1" s="1"/>
  <c r="AW205" i="1"/>
  <c r="BC205" i="1"/>
  <c r="BE205" i="1"/>
  <c r="BG205" i="1"/>
  <c r="AC205" i="1" s="1"/>
  <c r="BH205" i="1"/>
  <c r="AD205" i="1" s="1"/>
  <c r="BI205" i="1"/>
  <c r="I206" i="1"/>
  <c r="K206" i="1"/>
  <c r="Y206" i="1"/>
  <c r="AA206" i="1"/>
  <c r="AB206" i="1"/>
  <c r="AE206" i="1"/>
  <c r="AF206" i="1"/>
  <c r="AG206" i="1"/>
  <c r="AI206" i="1"/>
  <c r="AJ206" i="1"/>
  <c r="AK206" i="1"/>
  <c r="AN206" i="1"/>
  <c r="AO206" i="1"/>
  <c r="J206" i="1" s="1"/>
  <c r="AV206" i="1"/>
  <c r="BC206" i="1"/>
  <c r="BE206" i="1"/>
  <c r="BG206" i="1"/>
  <c r="AC206" i="1" s="1"/>
  <c r="BH206" i="1"/>
  <c r="AD206" i="1" s="1"/>
  <c r="BI206" i="1"/>
  <c r="K207" i="1"/>
  <c r="AK207" i="1" s="1"/>
  <c r="Y207" i="1"/>
  <c r="AA207" i="1"/>
  <c r="AB207" i="1"/>
  <c r="AE207" i="1"/>
  <c r="AF207" i="1"/>
  <c r="AG207" i="1"/>
  <c r="AI207" i="1"/>
  <c r="AJ207" i="1"/>
  <c r="AN207" i="1"/>
  <c r="I207" i="1" s="1"/>
  <c r="AO207" i="1"/>
  <c r="AW207" i="1" s="1"/>
  <c r="BC207" i="1"/>
  <c r="BE207" i="1"/>
  <c r="BG207" i="1"/>
  <c r="AC207" i="1" s="1"/>
  <c r="BH207" i="1"/>
  <c r="AD207" i="1" s="1"/>
  <c r="BI207" i="1"/>
  <c r="J208" i="1"/>
  <c r="K208" i="1"/>
  <c r="AK208" i="1" s="1"/>
  <c r="Y208" i="1"/>
  <c r="AA208" i="1"/>
  <c r="AB208" i="1"/>
  <c r="AE208" i="1"/>
  <c r="AF208" i="1"/>
  <c r="AG208" i="1"/>
  <c r="AI208" i="1"/>
  <c r="AJ208" i="1"/>
  <c r="AN208" i="1"/>
  <c r="AO208" i="1"/>
  <c r="AW208" i="1"/>
  <c r="BC208" i="1"/>
  <c r="BE208" i="1"/>
  <c r="BG208" i="1"/>
  <c r="AC208" i="1" s="1"/>
  <c r="BH208" i="1"/>
  <c r="AD208" i="1" s="1"/>
  <c r="BI208" i="1"/>
  <c r="I209" i="1"/>
  <c r="J209" i="1"/>
  <c r="K209" i="1"/>
  <c r="Y209" i="1"/>
  <c r="AA209" i="1"/>
  <c r="AB209" i="1"/>
  <c r="AE209" i="1"/>
  <c r="AF209" i="1"/>
  <c r="AG209" i="1"/>
  <c r="AI209" i="1"/>
  <c r="AJ209" i="1"/>
  <c r="AK209" i="1"/>
  <c r="AN209" i="1"/>
  <c r="AO209" i="1"/>
  <c r="AV209" i="1"/>
  <c r="AW209" i="1"/>
  <c r="BC209" i="1"/>
  <c r="BE209" i="1"/>
  <c r="BG209" i="1"/>
  <c r="AC209" i="1" s="1"/>
  <c r="BH209" i="1"/>
  <c r="AD209" i="1" s="1"/>
  <c r="BI209" i="1"/>
  <c r="I210" i="1"/>
  <c r="K210" i="1"/>
  <c r="Y210" i="1"/>
  <c r="AA210" i="1"/>
  <c r="AB210" i="1"/>
  <c r="AE210" i="1"/>
  <c r="AF210" i="1"/>
  <c r="AG210" i="1"/>
  <c r="AI210" i="1"/>
  <c r="AJ210" i="1"/>
  <c r="AK210" i="1"/>
  <c r="AN210" i="1"/>
  <c r="AO210" i="1"/>
  <c r="J210" i="1" s="1"/>
  <c r="AV210" i="1"/>
  <c r="BC210" i="1"/>
  <c r="BE210" i="1"/>
  <c r="BG210" i="1"/>
  <c r="AC210" i="1" s="1"/>
  <c r="BH210" i="1"/>
  <c r="AD210" i="1" s="1"/>
  <c r="BI210" i="1"/>
  <c r="K211" i="1"/>
  <c r="AK211" i="1" s="1"/>
  <c r="Y211" i="1"/>
  <c r="AA211" i="1"/>
  <c r="AB211" i="1"/>
  <c r="AE211" i="1"/>
  <c r="AF211" i="1"/>
  <c r="AG211" i="1"/>
  <c r="AI211" i="1"/>
  <c r="AJ211" i="1"/>
  <c r="AN211" i="1"/>
  <c r="I211" i="1" s="1"/>
  <c r="AO211" i="1"/>
  <c r="BC211" i="1"/>
  <c r="BE211" i="1"/>
  <c r="BG211" i="1"/>
  <c r="AC211" i="1" s="1"/>
  <c r="BH211" i="1"/>
  <c r="AD211" i="1" s="1"/>
  <c r="BI211" i="1"/>
  <c r="J212" i="1"/>
  <c r="K212" i="1"/>
  <c r="AK212" i="1" s="1"/>
  <c r="Y212" i="1"/>
  <c r="AA212" i="1"/>
  <c r="AB212" i="1"/>
  <c r="AE212" i="1"/>
  <c r="AF212" i="1"/>
  <c r="AG212" i="1"/>
  <c r="AI212" i="1"/>
  <c r="AJ212" i="1"/>
  <c r="AN212" i="1"/>
  <c r="BG212" i="1" s="1"/>
  <c r="AC212" i="1" s="1"/>
  <c r="AO212" i="1"/>
  <c r="AW212" i="1"/>
  <c r="BC212" i="1"/>
  <c r="BE212" i="1"/>
  <c r="BH212" i="1"/>
  <c r="AD212" i="1" s="1"/>
  <c r="BI212" i="1"/>
  <c r="I213" i="1"/>
  <c r="J213" i="1"/>
  <c r="K213" i="1"/>
  <c r="Y213" i="1"/>
  <c r="AA213" i="1"/>
  <c r="AB213" i="1"/>
  <c r="AE213" i="1"/>
  <c r="AF213" i="1"/>
  <c r="AG213" i="1"/>
  <c r="AI213" i="1"/>
  <c r="AJ213" i="1"/>
  <c r="AK213" i="1"/>
  <c r="AN213" i="1"/>
  <c r="AO213" i="1"/>
  <c r="AV213" i="1"/>
  <c r="AW213" i="1"/>
  <c r="BC213" i="1"/>
  <c r="BE213" i="1"/>
  <c r="BG213" i="1"/>
  <c r="AC213" i="1" s="1"/>
  <c r="BH213" i="1"/>
  <c r="AD213" i="1" s="1"/>
  <c r="BI213" i="1"/>
  <c r="I214" i="1"/>
  <c r="K214" i="1"/>
  <c r="Y214" i="1"/>
  <c r="AA214" i="1"/>
  <c r="AB214" i="1"/>
  <c r="AE214" i="1"/>
  <c r="AF214" i="1"/>
  <c r="AG214" i="1"/>
  <c r="AI214" i="1"/>
  <c r="AJ214" i="1"/>
  <c r="AK214" i="1"/>
  <c r="AN214" i="1"/>
  <c r="AO214" i="1"/>
  <c r="AV214" i="1"/>
  <c r="BC214" i="1"/>
  <c r="BE214" i="1"/>
  <c r="BG214" i="1"/>
  <c r="AC214" i="1" s="1"/>
  <c r="BH214" i="1"/>
  <c r="AD214" i="1" s="1"/>
  <c r="BI214" i="1"/>
  <c r="K215" i="1"/>
  <c r="AK215" i="1" s="1"/>
  <c r="Y215" i="1"/>
  <c r="AA215" i="1"/>
  <c r="AB215" i="1"/>
  <c r="AC215" i="1"/>
  <c r="AE215" i="1"/>
  <c r="AF215" i="1"/>
  <c r="AG215" i="1"/>
  <c r="AI215" i="1"/>
  <c r="AJ215" i="1"/>
  <c r="AN215" i="1"/>
  <c r="AO215" i="1"/>
  <c r="BC215" i="1"/>
  <c r="BE215" i="1"/>
  <c r="BG215" i="1"/>
  <c r="BI215" i="1"/>
  <c r="J216" i="1"/>
  <c r="K216" i="1"/>
  <c r="AK216" i="1" s="1"/>
  <c r="Y216" i="1"/>
  <c r="AA216" i="1"/>
  <c r="AB216" i="1"/>
  <c r="AE216" i="1"/>
  <c r="AF216" i="1"/>
  <c r="AG216" i="1"/>
  <c r="AI216" i="1"/>
  <c r="AJ216" i="1"/>
  <c r="AN216" i="1"/>
  <c r="AO216" i="1"/>
  <c r="AW216" i="1"/>
  <c r="BC216" i="1"/>
  <c r="BE216" i="1"/>
  <c r="BH216" i="1"/>
  <c r="AD216" i="1" s="1"/>
  <c r="BI216" i="1"/>
  <c r="I217" i="1"/>
  <c r="J217" i="1"/>
  <c r="K217" i="1"/>
  <c r="Y217" i="1"/>
  <c r="AA217" i="1"/>
  <c r="AB217" i="1"/>
  <c r="AE217" i="1"/>
  <c r="AF217" i="1"/>
  <c r="AG217" i="1"/>
  <c r="AI217" i="1"/>
  <c r="AJ217" i="1"/>
  <c r="AK217" i="1"/>
  <c r="AN217" i="1"/>
  <c r="AO217" i="1"/>
  <c r="AV217" i="1"/>
  <c r="AW217" i="1"/>
  <c r="BC217" i="1"/>
  <c r="BE217" i="1"/>
  <c r="BG217" i="1"/>
  <c r="AC217" i="1" s="1"/>
  <c r="BH217" i="1"/>
  <c r="AD217" i="1" s="1"/>
  <c r="BI217" i="1"/>
  <c r="AR218" i="1"/>
  <c r="AS218" i="1"/>
  <c r="J219" i="1"/>
  <c r="J218" i="1" s="1"/>
  <c r="K219" i="1"/>
  <c r="K218" i="1" s="1"/>
  <c r="Y219" i="1"/>
  <c r="AA219" i="1"/>
  <c r="AB219" i="1"/>
  <c r="AE219" i="1"/>
  <c r="AF219" i="1"/>
  <c r="AG219" i="1"/>
  <c r="AI219" i="1"/>
  <c r="AJ219" i="1"/>
  <c r="AK219" i="1"/>
  <c r="AT218" i="1" s="1"/>
  <c r="AN219" i="1"/>
  <c r="I219" i="1" s="1"/>
  <c r="I218" i="1" s="1"/>
  <c r="AO219" i="1"/>
  <c r="AV219" i="1"/>
  <c r="AW219" i="1"/>
  <c r="BC219" i="1"/>
  <c r="BE219" i="1"/>
  <c r="BG219" i="1"/>
  <c r="AC219" i="1" s="1"/>
  <c r="BH219" i="1"/>
  <c r="AD219" i="1" s="1"/>
  <c r="BI219" i="1"/>
  <c r="AS221" i="1"/>
  <c r="K222" i="1"/>
  <c r="Y222" i="1"/>
  <c r="AA222" i="1"/>
  <c r="AB222" i="1"/>
  <c r="AD222" i="1"/>
  <c r="AE222" i="1"/>
  <c r="AF222" i="1"/>
  <c r="AG222" i="1"/>
  <c r="AI222" i="1"/>
  <c r="AR221" i="1" s="1"/>
  <c r="AJ222" i="1"/>
  <c r="AN222" i="1"/>
  <c r="AO222" i="1"/>
  <c r="J222" i="1" s="1"/>
  <c r="AW222" i="1"/>
  <c r="BC222" i="1"/>
  <c r="BE222" i="1"/>
  <c r="BG222" i="1"/>
  <c r="AC222" i="1" s="1"/>
  <c r="BH222" i="1"/>
  <c r="BI222" i="1"/>
  <c r="K224" i="1"/>
  <c r="AK224" i="1" s="1"/>
  <c r="Y224" i="1"/>
  <c r="AA224" i="1"/>
  <c r="AB224" i="1"/>
  <c r="AE224" i="1"/>
  <c r="AF224" i="1"/>
  <c r="AG224" i="1"/>
  <c r="AI224" i="1"/>
  <c r="AJ224" i="1"/>
  <c r="AN224" i="1"/>
  <c r="AO224" i="1"/>
  <c r="J224" i="1" s="1"/>
  <c r="J221" i="1" s="1"/>
  <c r="BC224" i="1"/>
  <c r="BE224" i="1"/>
  <c r="BH224" i="1"/>
  <c r="AD224" i="1" s="1"/>
  <c r="BI224" i="1"/>
  <c r="AS225" i="1"/>
  <c r="K226" i="1"/>
  <c r="Y226" i="1"/>
  <c r="AA226" i="1"/>
  <c r="AB226" i="1"/>
  <c r="AC226" i="1"/>
  <c r="AE226" i="1"/>
  <c r="AF226" i="1"/>
  <c r="AG226" i="1"/>
  <c r="AI226" i="1"/>
  <c r="AR225" i="1" s="1"/>
  <c r="AJ226" i="1"/>
  <c r="AN226" i="1"/>
  <c r="AV226" i="1" s="1"/>
  <c r="AO226" i="1"/>
  <c r="BC226" i="1"/>
  <c r="BE226" i="1"/>
  <c r="BG226" i="1"/>
  <c r="BI226" i="1"/>
  <c r="AT227" i="1"/>
  <c r="I228" i="1"/>
  <c r="J228" i="1"/>
  <c r="K228" i="1"/>
  <c r="Y228" i="1"/>
  <c r="AA228" i="1"/>
  <c r="AB228" i="1"/>
  <c r="AE228" i="1"/>
  <c r="AF228" i="1"/>
  <c r="AG228" i="1"/>
  <c r="AI228" i="1"/>
  <c r="AJ228" i="1"/>
  <c r="AK228" i="1"/>
  <c r="AN228" i="1"/>
  <c r="AO228" i="1"/>
  <c r="AW228" i="1" s="1"/>
  <c r="AU228" i="1"/>
  <c r="AV228" i="1"/>
  <c r="BB228" i="1" s="1"/>
  <c r="BC228" i="1"/>
  <c r="BE228" i="1"/>
  <c r="BG228" i="1"/>
  <c r="AC228" i="1" s="1"/>
  <c r="BH228" i="1"/>
  <c r="AD228" i="1" s="1"/>
  <c r="BI228" i="1"/>
  <c r="K229" i="1"/>
  <c r="AK229" i="1" s="1"/>
  <c r="Y229" i="1"/>
  <c r="AA229" i="1"/>
  <c r="AB229" i="1"/>
  <c r="AE229" i="1"/>
  <c r="AF229" i="1"/>
  <c r="AG229" i="1"/>
  <c r="AI229" i="1"/>
  <c r="AJ229" i="1"/>
  <c r="AN229" i="1"/>
  <c r="AO229" i="1"/>
  <c r="J229" i="1" s="1"/>
  <c r="BC229" i="1"/>
  <c r="BE229" i="1"/>
  <c r="BH229" i="1"/>
  <c r="AD229" i="1" s="1"/>
  <c r="BI229" i="1"/>
  <c r="K231" i="1"/>
  <c r="Y231" i="1"/>
  <c r="AA231" i="1"/>
  <c r="AB231" i="1"/>
  <c r="AE231" i="1"/>
  <c r="AF231" i="1"/>
  <c r="AG231" i="1"/>
  <c r="AI231" i="1"/>
  <c r="AJ231" i="1"/>
  <c r="AK231" i="1"/>
  <c r="AN231" i="1"/>
  <c r="I231" i="1" s="1"/>
  <c r="AO231" i="1"/>
  <c r="AV231" i="1"/>
  <c r="BC231" i="1"/>
  <c r="BE231" i="1"/>
  <c r="BG231" i="1"/>
  <c r="AC231" i="1" s="1"/>
  <c r="BI231" i="1"/>
  <c r="I233" i="1"/>
  <c r="J233" i="1"/>
  <c r="K233" i="1"/>
  <c r="Y233" i="1"/>
  <c r="AA233" i="1"/>
  <c r="AB233" i="1"/>
  <c r="AE233" i="1"/>
  <c r="AF233" i="1"/>
  <c r="AG233" i="1"/>
  <c r="AI233" i="1"/>
  <c r="AJ233" i="1"/>
  <c r="AK233" i="1"/>
  <c r="AN233" i="1"/>
  <c r="AO233" i="1"/>
  <c r="AU233" i="1"/>
  <c r="AV233" i="1"/>
  <c r="BB233" i="1" s="1"/>
  <c r="AW233" i="1"/>
  <c r="BC233" i="1"/>
  <c r="BE233" i="1"/>
  <c r="BG233" i="1"/>
  <c r="AC233" i="1" s="1"/>
  <c r="BH233" i="1"/>
  <c r="AD233" i="1" s="1"/>
  <c r="BI233" i="1"/>
  <c r="I234" i="1"/>
  <c r="J234" i="1"/>
  <c r="K234" i="1"/>
  <c r="Y234" i="1"/>
  <c r="AA234" i="1"/>
  <c r="AB234" i="1"/>
  <c r="AE234" i="1"/>
  <c r="AF234" i="1"/>
  <c r="AG234" i="1"/>
  <c r="AI234" i="1"/>
  <c r="AJ234" i="1"/>
  <c r="AK234" i="1"/>
  <c r="AN234" i="1"/>
  <c r="AO234" i="1"/>
  <c r="AW234" i="1" s="1"/>
  <c r="AV234" i="1"/>
  <c r="BC234" i="1"/>
  <c r="BE234" i="1"/>
  <c r="BG234" i="1"/>
  <c r="AC234" i="1" s="1"/>
  <c r="BH234" i="1"/>
  <c r="AD234" i="1" s="1"/>
  <c r="BI234" i="1"/>
  <c r="K238" i="1"/>
  <c r="AK238" i="1" s="1"/>
  <c r="Y238" i="1"/>
  <c r="AA238" i="1"/>
  <c r="AB238" i="1"/>
  <c r="AC238" i="1"/>
  <c r="AE238" i="1"/>
  <c r="AF238" i="1"/>
  <c r="AG238" i="1"/>
  <c r="AI238" i="1"/>
  <c r="AJ238" i="1"/>
  <c r="AN238" i="1"/>
  <c r="AV238" i="1" s="1"/>
  <c r="AO238" i="1"/>
  <c r="BC238" i="1"/>
  <c r="BE238" i="1"/>
  <c r="BG238" i="1"/>
  <c r="BI238" i="1"/>
  <c r="J240" i="1"/>
  <c r="K240" i="1"/>
  <c r="Y240" i="1"/>
  <c r="AA240" i="1"/>
  <c r="AB240" i="1"/>
  <c r="AE240" i="1"/>
  <c r="AF240" i="1"/>
  <c r="AG240" i="1"/>
  <c r="AI240" i="1"/>
  <c r="AJ240" i="1"/>
  <c r="AK240" i="1"/>
  <c r="AN240" i="1"/>
  <c r="I240" i="1" s="1"/>
  <c r="AO240" i="1"/>
  <c r="AV240" i="1"/>
  <c r="AW240" i="1"/>
  <c r="BC240" i="1"/>
  <c r="BE240" i="1"/>
  <c r="BG240" i="1"/>
  <c r="AC240" i="1" s="1"/>
  <c r="BH240" i="1"/>
  <c r="AD240" i="1" s="1"/>
  <c r="BI240" i="1"/>
  <c r="I242" i="1"/>
  <c r="J242" i="1"/>
  <c r="K242" i="1"/>
  <c r="Y242" i="1"/>
  <c r="AA242" i="1"/>
  <c r="AB242" i="1"/>
  <c r="AE242" i="1"/>
  <c r="AF242" i="1"/>
  <c r="AG242" i="1"/>
  <c r="AI242" i="1"/>
  <c r="AJ242" i="1"/>
  <c r="AK242" i="1"/>
  <c r="AN242" i="1"/>
  <c r="AO242" i="1"/>
  <c r="AV242" i="1"/>
  <c r="AW242" i="1"/>
  <c r="BC242" i="1"/>
  <c r="BE242" i="1"/>
  <c r="BG242" i="1"/>
  <c r="AC242" i="1" s="1"/>
  <c r="BH242" i="1"/>
  <c r="AD242" i="1" s="1"/>
  <c r="BI242" i="1"/>
  <c r="I247" i="1"/>
  <c r="J247" i="1"/>
  <c r="K247" i="1"/>
  <c r="Y247" i="1"/>
  <c r="AA247" i="1"/>
  <c r="AB247" i="1"/>
  <c r="AE247" i="1"/>
  <c r="AF247" i="1"/>
  <c r="AG247" i="1"/>
  <c r="AI247" i="1"/>
  <c r="AJ247" i="1"/>
  <c r="AK247" i="1"/>
  <c r="AN247" i="1"/>
  <c r="AO247" i="1"/>
  <c r="AW247" i="1" s="1"/>
  <c r="AU247" i="1" s="1"/>
  <c r="AV247" i="1"/>
  <c r="BB247" i="1"/>
  <c r="BC247" i="1"/>
  <c r="BE247" i="1"/>
  <c r="BG247" i="1"/>
  <c r="AC247" i="1" s="1"/>
  <c r="BH247" i="1"/>
  <c r="AD247" i="1" s="1"/>
  <c r="BI247" i="1"/>
  <c r="K248" i="1"/>
  <c r="AK248" i="1" s="1"/>
  <c r="Y248" i="1"/>
  <c r="AA248" i="1"/>
  <c r="AB248" i="1"/>
  <c r="AD248" i="1"/>
  <c r="AE248" i="1"/>
  <c r="AF248" i="1"/>
  <c r="AG248" i="1"/>
  <c r="AI248" i="1"/>
  <c r="AJ248" i="1"/>
  <c r="AN248" i="1"/>
  <c r="AV248" i="1" s="1"/>
  <c r="AO248" i="1"/>
  <c r="J248" i="1" s="1"/>
  <c r="AU248" i="1"/>
  <c r="AW248" i="1"/>
  <c r="BB248" i="1" s="1"/>
  <c r="BC248" i="1"/>
  <c r="BE248" i="1"/>
  <c r="BG248" i="1"/>
  <c r="AC248" i="1" s="1"/>
  <c r="BH248" i="1"/>
  <c r="BI248" i="1"/>
  <c r="J249" i="1"/>
  <c r="K249" i="1"/>
  <c r="Y249" i="1"/>
  <c r="AA249" i="1"/>
  <c r="AB249" i="1"/>
  <c r="AE249" i="1"/>
  <c r="AF249" i="1"/>
  <c r="AG249" i="1"/>
  <c r="AI249" i="1"/>
  <c r="AJ249" i="1"/>
  <c r="AK249" i="1"/>
  <c r="AN249" i="1"/>
  <c r="I249" i="1" s="1"/>
  <c r="AO249" i="1"/>
  <c r="AV249" i="1"/>
  <c r="AW249" i="1"/>
  <c r="BC249" i="1"/>
  <c r="BE249" i="1"/>
  <c r="BG249" i="1"/>
  <c r="AC249" i="1" s="1"/>
  <c r="BH249" i="1"/>
  <c r="AD249" i="1" s="1"/>
  <c r="BI249" i="1"/>
  <c r="I250" i="1"/>
  <c r="J250" i="1"/>
  <c r="K250" i="1"/>
  <c r="Y250" i="1"/>
  <c r="AA250" i="1"/>
  <c r="AB250" i="1"/>
  <c r="AE250" i="1"/>
  <c r="AF250" i="1"/>
  <c r="AG250" i="1"/>
  <c r="AI250" i="1"/>
  <c r="AJ250" i="1"/>
  <c r="AK250" i="1"/>
  <c r="AN250" i="1"/>
  <c r="AO250" i="1"/>
  <c r="AU250" i="1"/>
  <c r="AV250" i="1"/>
  <c r="BB250" i="1" s="1"/>
  <c r="AW250" i="1"/>
  <c r="BC250" i="1"/>
  <c r="BE250" i="1"/>
  <c r="BG250" i="1"/>
  <c r="AC250" i="1" s="1"/>
  <c r="BH250" i="1"/>
  <c r="AD250" i="1" s="1"/>
  <c r="BI250" i="1"/>
  <c r="I251" i="1"/>
  <c r="K251" i="1"/>
  <c r="Y251" i="1"/>
  <c r="AA251" i="1"/>
  <c r="AB251" i="1"/>
  <c r="AE251" i="1"/>
  <c r="AF251" i="1"/>
  <c r="AG251" i="1"/>
  <c r="AI251" i="1"/>
  <c r="AJ251" i="1"/>
  <c r="AK251" i="1"/>
  <c r="AN251" i="1"/>
  <c r="AO251" i="1"/>
  <c r="AV251" i="1"/>
  <c r="BC251" i="1"/>
  <c r="BE251" i="1"/>
  <c r="BG251" i="1"/>
  <c r="AC251" i="1" s="1"/>
  <c r="BH251" i="1"/>
  <c r="AD251" i="1" s="1"/>
  <c r="BI251" i="1"/>
  <c r="I253" i="1"/>
  <c r="J253" i="1"/>
  <c r="K253" i="1"/>
  <c r="Y253" i="1"/>
  <c r="AA253" i="1"/>
  <c r="AB253" i="1"/>
  <c r="AE253" i="1"/>
  <c r="AF253" i="1"/>
  <c r="AG253" i="1"/>
  <c r="AI253" i="1"/>
  <c r="AJ253" i="1"/>
  <c r="AS252" i="1" s="1"/>
  <c r="AK253" i="1"/>
  <c r="AN253" i="1"/>
  <c r="AO253" i="1"/>
  <c r="AU253" i="1"/>
  <c r="AV253" i="1"/>
  <c r="BB253" i="1" s="1"/>
  <c r="AW253" i="1"/>
  <c r="BC253" i="1"/>
  <c r="BE253" i="1"/>
  <c r="BG253" i="1"/>
  <c r="AC253" i="1" s="1"/>
  <c r="BH253" i="1"/>
  <c r="AD253" i="1" s="1"/>
  <c r="BI253" i="1"/>
  <c r="I255" i="1"/>
  <c r="K255" i="1"/>
  <c r="Y255" i="1"/>
  <c r="AA255" i="1"/>
  <c r="AB255" i="1"/>
  <c r="AE255" i="1"/>
  <c r="AF255" i="1"/>
  <c r="AG255" i="1"/>
  <c r="AI255" i="1"/>
  <c r="AR252" i="1" s="1"/>
  <c r="AJ255" i="1"/>
  <c r="AK255" i="1"/>
  <c r="AN255" i="1"/>
  <c r="AO255" i="1"/>
  <c r="AV255" i="1"/>
  <c r="BC255" i="1"/>
  <c r="BE255" i="1"/>
  <c r="BG255" i="1"/>
  <c r="AC255" i="1" s="1"/>
  <c r="BH255" i="1"/>
  <c r="AD255" i="1" s="1"/>
  <c r="BI255" i="1"/>
  <c r="K257" i="1"/>
  <c r="AK257" i="1" s="1"/>
  <c r="Y257" i="1"/>
  <c r="AA257" i="1"/>
  <c r="AB257" i="1"/>
  <c r="AE257" i="1"/>
  <c r="AF257" i="1"/>
  <c r="AG257" i="1"/>
  <c r="AI257" i="1"/>
  <c r="AJ257" i="1"/>
  <c r="AN257" i="1"/>
  <c r="AO257" i="1"/>
  <c r="J257" i="1" s="1"/>
  <c r="AW257" i="1"/>
  <c r="BC257" i="1"/>
  <c r="BE257" i="1"/>
  <c r="BG257" i="1"/>
  <c r="AC257" i="1" s="1"/>
  <c r="BH257" i="1"/>
  <c r="AD257" i="1" s="1"/>
  <c r="BI257" i="1"/>
  <c r="J259" i="1"/>
  <c r="K259" i="1"/>
  <c r="Y259" i="1"/>
  <c r="AA259" i="1"/>
  <c r="AB259" i="1"/>
  <c r="AE259" i="1"/>
  <c r="AF259" i="1"/>
  <c r="AG259" i="1"/>
  <c r="AI259" i="1"/>
  <c r="AJ259" i="1"/>
  <c r="AK259" i="1"/>
  <c r="AN259" i="1"/>
  <c r="I259" i="1" s="1"/>
  <c r="AO259" i="1"/>
  <c r="AV259" i="1"/>
  <c r="AW259" i="1"/>
  <c r="BC259" i="1"/>
  <c r="BE259" i="1"/>
  <c r="BG259" i="1"/>
  <c r="AC259" i="1" s="1"/>
  <c r="BH259" i="1"/>
  <c r="AD259" i="1" s="1"/>
  <c r="BI259" i="1"/>
  <c r="I261" i="1"/>
  <c r="J261" i="1"/>
  <c r="K261" i="1"/>
  <c r="Y261" i="1"/>
  <c r="AA261" i="1"/>
  <c r="AB261" i="1"/>
  <c r="AE261" i="1"/>
  <c r="AF261" i="1"/>
  <c r="AG261" i="1"/>
  <c r="AI261" i="1"/>
  <c r="AJ261" i="1"/>
  <c r="AK261" i="1"/>
  <c r="AN261" i="1"/>
  <c r="AO261" i="1"/>
  <c r="AU261" i="1"/>
  <c r="AV261" i="1"/>
  <c r="BB261" i="1" s="1"/>
  <c r="AW261" i="1"/>
  <c r="BC261" i="1"/>
  <c r="BE261" i="1"/>
  <c r="BG261" i="1"/>
  <c r="AC261" i="1" s="1"/>
  <c r="BH261" i="1"/>
  <c r="AD261" i="1" s="1"/>
  <c r="BI261" i="1"/>
  <c r="J264" i="1"/>
  <c r="K264" i="1"/>
  <c r="K263" i="1" s="1"/>
  <c r="Y264" i="1"/>
  <c r="AA264" i="1"/>
  <c r="AB264" i="1"/>
  <c r="AE264" i="1"/>
  <c r="AF264" i="1"/>
  <c r="AG264" i="1"/>
  <c r="AI264" i="1"/>
  <c r="AJ264" i="1"/>
  <c r="AK264" i="1"/>
  <c r="AT263" i="1" s="1"/>
  <c r="AN264" i="1"/>
  <c r="I264" i="1" s="1"/>
  <c r="AO264" i="1"/>
  <c r="AV264" i="1"/>
  <c r="AW264" i="1"/>
  <c r="BC264" i="1"/>
  <c r="BE264" i="1"/>
  <c r="BG264" i="1"/>
  <c r="AC264" i="1" s="1"/>
  <c r="BH264" i="1"/>
  <c r="AD264" i="1" s="1"/>
  <c r="BI264" i="1"/>
  <c r="I265" i="1"/>
  <c r="J265" i="1"/>
  <c r="K265" i="1"/>
  <c r="Y265" i="1"/>
  <c r="AA265" i="1"/>
  <c r="AB265" i="1"/>
  <c r="AE265" i="1"/>
  <c r="AF265" i="1"/>
  <c r="AG265" i="1"/>
  <c r="AI265" i="1"/>
  <c r="AJ265" i="1"/>
  <c r="AS263" i="1" s="1"/>
  <c r="AK265" i="1"/>
  <c r="AN265" i="1"/>
  <c r="AO265" i="1"/>
  <c r="AU265" i="1"/>
  <c r="AV265" i="1"/>
  <c r="BB265" i="1" s="1"/>
  <c r="AW265" i="1"/>
  <c r="BC265" i="1"/>
  <c r="BE265" i="1"/>
  <c r="BG265" i="1"/>
  <c r="AC265" i="1" s="1"/>
  <c r="BH265" i="1"/>
  <c r="AD265" i="1" s="1"/>
  <c r="BI265" i="1"/>
  <c r="I266" i="1"/>
  <c r="K266" i="1"/>
  <c r="Y266" i="1"/>
  <c r="AA266" i="1"/>
  <c r="AB266" i="1"/>
  <c r="AE266" i="1"/>
  <c r="AF266" i="1"/>
  <c r="AG266" i="1"/>
  <c r="AI266" i="1"/>
  <c r="AR263" i="1" s="1"/>
  <c r="AJ266" i="1"/>
  <c r="AK266" i="1"/>
  <c r="AN266" i="1"/>
  <c r="AO266" i="1"/>
  <c r="AV266" i="1"/>
  <c r="BC266" i="1"/>
  <c r="BE266" i="1"/>
  <c r="BG266" i="1"/>
  <c r="AC266" i="1" s="1"/>
  <c r="BH266" i="1"/>
  <c r="AD266" i="1" s="1"/>
  <c r="BI266" i="1"/>
  <c r="K267" i="1"/>
  <c r="AK267" i="1" s="1"/>
  <c r="Y267" i="1"/>
  <c r="AA267" i="1"/>
  <c r="AB267" i="1"/>
  <c r="AE267" i="1"/>
  <c r="AF267" i="1"/>
  <c r="AG267" i="1"/>
  <c r="AI267" i="1"/>
  <c r="AJ267" i="1"/>
  <c r="AN267" i="1"/>
  <c r="AO267" i="1"/>
  <c r="J267" i="1" s="1"/>
  <c r="AW267" i="1"/>
  <c r="BC267" i="1"/>
  <c r="BE267" i="1"/>
  <c r="BG267" i="1"/>
  <c r="AC267" i="1" s="1"/>
  <c r="BH267" i="1"/>
  <c r="AD267" i="1" s="1"/>
  <c r="BI267" i="1"/>
  <c r="J268" i="1"/>
  <c r="K268" i="1"/>
  <c r="Y268" i="1"/>
  <c r="AA268" i="1"/>
  <c r="AB268" i="1"/>
  <c r="AE268" i="1"/>
  <c r="AF268" i="1"/>
  <c r="AG268" i="1"/>
  <c r="AI268" i="1"/>
  <c r="AJ268" i="1"/>
  <c r="AK268" i="1"/>
  <c r="AN268" i="1"/>
  <c r="I268" i="1" s="1"/>
  <c r="AO268" i="1"/>
  <c r="AV268" i="1"/>
  <c r="AW268" i="1"/>
  <c r="BC268" i="1"/>
  <c r="BE268" i="1"/>
  <c r="BG268" i="1"/>
  <c r="AC268" i="1" s="1"/>
  <c r="BH268" i="1"/>
  <c r="AD268" i="1" s="1"/>
  <c r="BI268" i="1"/>
  <c r="I269" i="1"/>
  <c r="J269" i="1"/>
  <c r="K269" i="1"/>
  <c r="Y269" i="1"/>
  <c r="AA269" i="1"/>
  <c r="AB269" i="1"/>
  <c r="AE269" i="1"/>
  <c r="AF269" i="1"/>
  <c r="AG269" i="1"/>
  <c r="AI269" i="1"/>
  <c r="AJ269" i="1"/>
  <c r="AK269" i="1"/>
  <c r="AN269" i="1"/>
  <c r="AO269" i="1"/>
  <c r="AU269" i="1"/>
  <c r="AV269" i="1"/>
  <c r="BB269" i="1" s="1"/>
  <c r="AW269" i="1"/>
  <c r="BC269" i="1"/>
  <c r="BE269" i="1"/>
  <c r="BG269" i="1"/>
  <c r="AC269" i="1" s="1"/>
  <c r="BH269" i="1"/>
  <c r="AD269" i="1" s="1"/>
  <c r="BI269" i="1"/>
  <c r="J271" i="1"/>
  <c r="K271" i="1"/>
  <c r="Y271" i="1"/>
  <c r="AB271" i="1"/>
  <c r="AC271" i="1"/>
  <c r="AD271" i="1"/>
  <c r="AE271" i="1"/>
  <c r="AF271" i="1"/>
  <c r="AG271" i="1"/>
  <c r="AI271" i="1"/>
  <c r="AJ271" i="1"/>
  <c r="AK271" i="1"/>
  <c r="AN271" i="1"/>
  <c r="I271" i="1" s="1"/>
  <c r="AO271" i="1"/>
  <c r="AV271" i="1"/>
  <c r="AW271" i="1"/>
  <c r="BC271" i="1"/>
  <c r="BE271" i="1"/>
  <c r="BG271" i="1"/>
  <c r="AA271" i="1" s="1"/>
  <c r="BH271" i="1"/>
  <c r="BI271" i="1"/>
  <c r="I272" i="1"/>
  <c r="J272" i="1"/>
  <c r="K272" i="1"/>
  <c r="Y272" i="1"/>
  <c r="AA272" i="1"/>
  <c r="AB272" i="1"/>
  <c r="AC272" i="1"/>
  <c r="AD272" i="1"/>
  <c r="AE272" i="1"/>
  <c r="AF272" i="1"/>
  <c r="AG272" i="1"/>
  <c r="AI272" i="1"/>
  <c r="AJ272" i="1"/>
  <c r="AK272" i="1"/>
  <c r="AN272" i="1"/>
  <c r="AO272" i="1"/>
  <c r="AU272" i="1"/>
  <c r="AV272" i="1"/>
  <c r="BB272" i="1" s="1"/>
  <c r="AW272" i="1"/>
  <c r="BC272" i="1"/>
  <c r="BE272" i="1"/>
  <c r="BG272" i="1"/>
  <c r="BH272" i="1"/>
  <c r="BI272" i="1"/>
  <c r="I273" i="1"/>
  <c r="K273" i="1"/>
  <c r="Y273" i="1"/>
  <c r="AA273" i="1"/>
  <c r="AC273" i="1"/>
  <c r="AD273" i="1"/>
  <c r="AE273" i="1"/>
  <c r="AF273" i="1"/>
  <c r="AG273" i="1"/>
  <c r="AI273" i="1"/>
  <c r="AR270" i="1" s="1"/>
  <c r="AJ273" i="1"/>
  <c r="AK273" i="1"/>
  <c r="AN273" i="1"/>
  <c r="AO273" i="1"/>
  <c r="AV273" i="1"/>
  <c r="BC273" i="1"/>
  <c r="BE273" i="1"/>
  <c r="BG273" i="1"/>
  <c r="BH273" i="1"/>
  <c r="AB273" i="1" s="1"/>
  <c r="BI273" i="1"/>
  <c r="K274" i="1"/>
  <c r="AK274" i="1" s="1"/>
  <c r="Y274" i="1"/>
  <c r="AC274" i="1"/>
  <c r="AD274" i="1"/>
  <c r="AE274" i="1"/>
  <c r="AF274" i="1"/>
  <c r="AG274" i="1"/>
  <c r="AI274" i="1"/>
  <c r="AJ274" i="1"/>
  <c r="AN274" i="1"/>
  <c r="AO274" i="1"/>
  <c r="J274" i="1" s="1"/>
  <c r="AW274" i="1"/>
  <c r="BC274" i="1"/>
  <c r="BE274" i="1"/>
  <c r="BG274" i="1"/>
  <c r="AA274" i="1" s="1"/>
  <c r="BH274" i="1"/>
  <c r="AB274" i="1" s="1"/>
  <c r="BI274" i="1"/>
  <c r="J275" i="1"/>
  <c r="K275" i="1"/>
  <c r="Y275" i="1"/>
  <c r="AB275" i="1"/>
  <c r="AC275" i="1"/>
  <c r="AD275" i="1"/>
  <c r="AE275" i="1"/>
  <c r="AF275" i="1"/>
  <c r="AG275" i="1"/>
  <c r="AI275" i="1"/>
  <c r="AJ275" i="1"/>
  <c r="AK275" i="1"/>
  <c r="AN275" i="1"/>
  <c r="I275" i="1" s="1"/>
  <c r="AO275" i="1"/>
  <c r="AV275" i="1"/>
  <c r="AW275" i="1"/>
  <c r="BC275" i="1"/>
  <c r="BE275" i="1"/>
  <c r="BG275" i="1"/>
  <c r="AA275" i="1" s="1"/>
  <c r="BH275" i="1"/>
  <c r="BI275" i="1"/>
  <c r="I276" i="1"/>
  <c r="J276" i="1"/>
  <c r="K276" i="1"/>
  <c r="Y276" i="1"/>
  <c r="AA276" i="1"/>
  <c r="AB276" i="1"/>
  <c r="AC276" i="1"/>
  <c r="AD276" i="1"/>
  <c r="AE276" i="1"/>
  <c r="AF276" i="1"/>
  <c r="AG276" i="1"/>
  <c r="AI276" i="1"/>
  <c r="AJ276" i="1"/>
  <c r="AK276" i="1"/>
  <c r="AN276" i="1"/>
  <c r="AO276" i="1"/>
  <c r="AU276" i="1"/>
  <c r="AV276" i="1"/>
  <c r="BB276" i="1" s="1"/>
  <c r="AW276" i="1"/>
  <c r="BC276" i="1"/>
  <c r="BE276" i="1"/>
  <c r="BG276" i="1"/>
  <c r="BH276" i="1"/>
  <c r="BI276" i="1"/>
  <c r="AR277" i="1"/>
  <c r="J278" i="1"/>
  <c r="J277" i="1" s="1"/>
  <c r="K278" i="1"/>
  <c r="K277" i="1" s="1"/>
  <c r="Y278" i="1"/>
  <c r="AA278" i="1"/>
  <c r="AB278" i="1"/>
  <c r="AE278" i="1"/>
  <c r="AF278" i="1"/>
  <c r="AG278" i="1"/>
  <c r="AI278" i="1"/>
  <c r="AJ278" i="1"/>
  <c r="AK278" i="1"/>
  <c r="AT277" i="1" s="1"/>
  <c r="AN278" i="1"/>
  <c r="I278" i="1" s="1"/>
  <c r="I277" i="1" s="1"/>
  <c r="AO278" i="1"/>
  <c r="AV278" i="1"/>
  <c r="AW278" i="1"/>
  <c r="BC278" i="1"/>
  <c r="BE278" i="1"/>
  <c r="BG278" i="1"/>
  <c r="AC278" i="1" s="1"/>
  <c r="BH278" i="1"/>
  <c r="AD278" i="1" s="1"/>
  <c r="BI278" i="1"/>
  <c r="I279" i="1"/>
  <c r="J279" i="1"/>
  <c r="K279" i="1"/>
  <c r="Y279" i="1"/>
  <c r="AA279" i="1"/>
  <c r="AB279" i="1"/>
  <c r="AE279" i="1"/>
  <c r="AF279" i="1"/>
  <c r="AG279" i="1"/>
  <c r="AI279" i="1"/>
  <c r="AJ279" i="1"/>
  <c r="AS277" i="1" s="1"/>
  <c r="AK279" i="1"/>
  <c r="AN279" i="1"/>
  <c r="AO279" i="1"/>
  <c r="AU279" i="1"/>
  <c r="AV279" i="1"/>
  <c r="BB279" i="1" s="1"/>
  <c r="AW279" i="1"/>
  <c r="BC279" i="1"/>
  <c r="BE279" i="1"/>
  <c r="BG279" i="1"/>
  <c r="AC279" i="1" s="1"/>
  <c r="BH279" i="1"/>
  <c r="AD279" i="1" s="1"/>
  <c r="BI279" i="1"/>
  <c r="AR281" i="1"/>
  <c r="J282" i="1"/>
  <c r="J281" i="1" s="1"/>
  <c r="K282" i="1"/>
  <c r="K281" i="1" s="1"/>
  <c r="Y282" i="1"/>
  <c r="AA282" i="1"/>
  <c r="AB282" i="1"/>
  <c r="AE282" i="1"/>
  <c r="AF282" i="1"/>
  <c r="AG282" i="1"/>
  <c r="AI282" i="1"/>
  <c r="AJ282" i="1"/>
  <c r="AK282" i="1"/>
  <c r="AT281" i="1" s="1"/>
  <c r="AN282" i="1"/>
  <c r="I282" i="1" s="1"/>
  <c r="AO282" i="1"/>
  <c r="AV282" i="1"/>
  <c r="AW282" i="1"/>
  <c r="BC282" i="1"/>
  <c r="BE282" i="1"/>
  <c r="BG282" i="1"/>
  <c r="AC282" i="1" s="1"/>
  <c r="BH282" i="1"/>
  <c r="AD282" i="1" s="1"/>
  <c r="BI282" i="1"/>
  <c r="I283" i="1"/>
  <c r="J283" i="1"/>
  <c r="K283" i="1"/>
  <c r="Y283" i="1"/>
  <c r="AA283" i="1"/>
  <c r="AB283" i="1"/>
  <c r="AE283" i="1"/>
  <c r="AF283" i="1"/>
  <c r="AG283" i="1"/>
  <c r="AI283" i="1"/>
  <c r="AJ283" i="1"/>
  <c r="AS281" i="1" s="1"/>
  <c r="AK283" i="1"/>
  <c r="AN283" i="1"/>
  <c r="AO283" i="1"/>
  <c r="AU283" i="1"/>
  <c r="AV283" i="1"/>
  <c r="BB283" i="1" s="1"/>
  <c r="AW283" i="1"/>
  <c r="BC283" i="1"/>
  <c r="BE283" i="1"/>
  <c r="BG283" i="1"/>
  <c r="AC283" i="1" s="1"/>
  <c r="BH283" i="1"/>
  <c r="AD283" i="1" s="1"/>
  <c r="BI283" i="1"/>
  <c r="AR284" i="1"/>
  <c r="J285" i="1"/>
  <c r="J284" i="1" s="1"/>
  <c r="K285" i="1"/>
  <c r="K284" i="1" s="1"/>
  <c r="Y285" i="1"/>
  <c r="AB285" i="1"/>
  <c r="AC285" i="1"/>
  <c r="AD285" i="1"/>
  <c r="AE285" i="1"/>
  <c r="AF285" i="1"/>
  <c r="AG285" i="1"/>
  <c r="AI285" i="1"/>
  <c r="AJ285" i="1"/>
  <c r="AK285" i="1"/>
  <c r="AT284" i="1" s="1"/>
  <c r="AN285" i="1"/>
  <c r="I285" i="1" s="1"/>
  <c r="AO285" i="1"/>
  <c r="AV285" i="1"/>
  <c r="AW285" i="1"/>
  <c r="BC285" i="1"/>
  <c r="BE285" i="1"/>
  <c r="BG285" i="1"/>
  <c r="AA285" i="1" s="1"/>
  <c r="BH285" i="1"/>
  <c r="BI285" i="1"/>
  <c r="I286" i="1"/>
  <c r="J286" i="1"/>
  <c r="K286" i="1"/>
  <c r="Y286" i="1"/>
  <c r="AA286" i="1"/>
  <c r="AB286" i="1"/>
  <c r="AC286" i="1"/>
  <c r="AD286" i="1"/>
  <c r="AE286" i="1"/>
  <c r="AF286" i="1"/>
  <c r="AG286" i="1"/>
  <c r="AI286" i="1"/>
  <c r="AJ286" i="1"/>
  <c r="AS284" i="1" s="1"/>
  <c r="AK286" i="1"/>
  <c r="AN286" i="1"/>
  <c r="AO286" i="1"/>
  <c r="AU286" i="1"/>
  <c r="AV286" i="1"/>
  <c r="BB286" i="1" s="1"/>
  <c r="AW286" i="1"/>
  <c r="BC286" i="1"/>
  <c r="BE286" i="1"/>
  <c r="BG286" i="1"/>
  <c r="BH286" i="1"/>
  <c r="BI286" i="1"/>
  <c r="AR287" i="1"/>
  <c r="J288" i="1"/>
  <c r="K288" i="1"/>
  <c r="K287" i="1" s="1"/>
  <c r="Y288" i="1"/>
  <c r="AB288" i="1"/>
  <c r="AC288" i="1"/>
  <c r="AD288" i="1"/>
  <c r="AE288" i="1"/>
  <c r="AF288" i="1"/>
  <c r="AG288" i="1"/>
  <c r="AI288" i="1"/>
  <c r="AJ288" i="1"/>
  <c r="AK288" i="1"/>
  <c r="AT287" i="1" s="1"/>
  <c r="AN288" i="1"/>
  <c r="I288" i="1" s="1"/>
  <c r="AO288" i="1"/>
  <c r="AV288" i="1"/>
  <c r="AW288" i="1"/>
  <c r="BC288" i="1"/>
  <c r="BE288" i="1"/>
  <c r="BG288" i="1"/>
  <c r="AA288" i="1" s="1"/>
  <c r="BH288" i="1"/>
  <c r="BI288" i="1"/>
  <c r="I289" i="1"/>
  <c r="J289" i="1"/>
  <c r="K289" i="1"/>
  <c r="Y289" i="1"/>
  <c r="AA289" i="1"/>
  <c r="AB289" i="1"/>
  <c r="AC289" i="1"/>
  <c r="AD289" i="1"/>
  <c r="AE289" i="1"/>
  <c r="AF289" i="1"/>
  <c r="AG289" i="1"/>
  <c r="AI289" i="1"/>
  <c r="AJ289" i="1"/>
  <c r="AK289" i="1"/>
  <c r="AN289" i="1"/>
  <c r="AO289" i="1"/>
  <c r="AU289" i="1"/>
  <c r="AV289" i="1"/>
  <c r="BB289" i="1" s="1"/>
  <c r="AW289" i="1"/>
  <c r="BC289" i="1"/>
  <c r="BE289" i="1"/>
  <c r="BG289" i="1"/>
  <c r="BH289" i="1"/>
  <c r="BI289" i="1"/>
  <c r="I290" i="1"/>
  <c r="K290" i="1"/>
  <c r="Y290" i="1"/>
  <c r="AA290" i="1"/>
  <c r="AC290" i="1"/>
  <c r="AD290" i="1"/>
  <c r="AE290" i="1"/>
  <c r="AF290" i="1"/>
  <c r="AG290" i="1"/>
  <c r="AI290" i="1"/>
  <c r="AJ290" i="1"/>
  <c r="AK290" i="1"/>
  <c r="AN290" i="1"/>
  <c r="AO290" i="1"/>
  <c r="AV290" i="1"/>
  <c r="BC290" i="1"/>
  <c r="BE290" i="1"/>
  <c r="BG290" i="1"/>
  <c r="BH290" i="1"/>
  <c r="AB290" i="1" s="1"/>
  <c r="BI290" i="1"/>
  <c r="K291" i="1"/>
  <c r="AR291" i="1"/>
  <c r="I292" i="1"/>
  <c r="J292" i="1"/>
  <c r="K292" i="1"/>
  <c r="Y292" i="1"/>
  <c r="AA292" i="1"/>
  <c r="AB292" i="1"/>
  <c r="AC292" i="1"/>
  <c r="AD292" i="1"/>
  <c r="AE292" i="1"/>
  <c r="AF292" i="1"/>
  <c r="AG292" i="1"/>
  <c r="AI292" i="1"/>
  <c r="AJ292" i="1"/>
  <c r="AK292" i="1"/>
  <c r="AN292" i="1"/>
  <c r="AO292" i="1"/>
  <c r="AU292" i="1"/>
  <c r="AV292" i="1"/>
  <c r="BB292" i="1" s="1"/>
  <c r="AW292" i="1"/>
  <c r="BC292" i="1"/>
  <c r="BE292" i="1"/>
  <c r="BG292" i="1"/>
  <c r="BH292" i="1"/>
  <c r="BI292" i="1"/>
  <c r="I293" i="1"/>
  <c r="K293" i="1"/>
  <c r="Y293" i="1"/>
  <c r="AA293" i="1"/>
  <c r="AC293" i="1"/>
  <c r="AD293" i="1"/>
  <c r="AE293" i="1"/>
  <c r="AF293" i="1"/>
  <c r="AG293" i="1"/>
  <c r="AI293" i="1"/>
  <c r="AJ293" i="1"/>
  <c r="AK293" i="1"/>
  <c r="AN293" i="1"/>
  <c r="AO293" i="1"/>
  <c r="AV293" i="1"/>
  <c r="BC293" i="1"/>
  <c r="BE293" i="1"/>
  <c r="BG293" i="1"/>
  <c r="BH293" i="1"/>
  <c r="AB293" i="1" s="1"/>
  <c r="BI293" i="1"/>
  <c r="K294" i="1"/>
  <c r="AK294" i="1" s="1"/>
  <c r="Y294" i="1"/>
  <c r="AC294" i="1"/>
  <c r="AD294" i="1"/>
  <c r="AE294" i="1"/>
  <c r="AF294" i="1"/>
  <c r="AG294" i="1"/>
  <c r="AI294" i="1"/>
  <c r="AJ294" i="1"/>
  <c r="AN294" i="1"/>
  <c r="BG294" i="1" s="1"/>
  <c r="AA294" i="1" s="1"/>
  <c r="AO294" i="1"/>
  <c r="J294" i="1" s="1"/>
  <c r="BC294" i="1"/>
  <c r="BE294" i="1"/>
  <c r="BH294" i="1"/>
  <c r="AB294" i="1" s="1"/>
  <c r="BI294" i="1"/>
  <c r="J295" i="1"/>
  <c r="K295" i="1"/>
  <c r="Y295" i="1"/>
  <c r="AC295" i="1"/>
  <c r="AD295" i="1"/>
  <c r="AE295" i="1"/>
  <c r="AF295" i="1"/>
  <c r="AG295" i="1"/>
  <c r="AI295" i="1"/>
  <c r="AJ295" i="1"/>
  <c r="AK295" i="1"/>
  <c r="AN295" i="1"/>
  <c r="I295" i="1" s="1"/>
  <c r="AO295" i="1"/>
  <c r="AV295" i="1"/>
  <c r="AW295" i="1"/>
  <c r="BC295" i="1"/>
  <c r="BE295" i="1"/>
  <c r="BH295" i="1"/>
  <c r="AB295" i="1" s="1"/>
  <c r="BI295" i="1"/>
  <c r="I296" i="1"/>
  <c r="J296" i="1"/>
  <c r="K296" i="1"/>
  <c r="AK296" i="1" s="1"/>
  <c r="Y296" i="1"/>
  <c r="AB296" i="1"/>
  <c r="AC296" i="1"/>
  <c r="AD296" i="1"/>
  <c r="AE296" i="1"/>
  <c r="AF296" i="1"/>
  <c r="AG296" i="1"/>
  <c r="AI296" i="1"/>
  <c r="AJ296" i="1"/>
  <c r="AN296" i="1"/>
  <c r="AV296" i="1" s="1"/>
  <c r="BB296" i="1" s="1"/>
  <c r="AO296" i="1"/>
  <c r="AW296" i="1"/>
  <c r="BC296" i="1"/>
  <c r="BE296" i="1"/>
  <c r="BH296" i="1"/>
  <c r="BI296" i="1"/>
  <c r="I297" i="1"/>
  <c r="AR297" i="1"/>
  <c r="AS297" i="1"/>
  <c r="J298" i="1"/>
  <c r="J297" i="1" s="1"/>
  <c r="K298" i="1"/>
  <c r="K297" i="1" s="1"/>
  <c r="Y298" i="1"/>
  <c r="AA298" i="1"/>
  <c r="AB298" i="1"/>
  <c r="AC298" i="1"/>
  <c r="AD298" i="1"/>
  <c r="AE298" i="1"/>
  <c r="AF298" i="1"/>
  <c r="AG298" i="1"/>
  <c r="AI298" i="1"/>
  <c r="AJ298" i="1"/>
  <c r="AN298" i="1"/>
  <c r="I298" i="1" s="1"/>
  <c r="AO298" i="1"/>
  <c r="AV298" i="1"/>
  <c r="AW298" i="1"/>
  <c r="BC298" i="1"/>
  <c r="BE298" i="1"/>
  <c r="BH298" i="1"/>
  <c r="BI298" i="1"/>
  <c r="AT299" i="1"/>
  <c r="K300" i="1"/>
  <c r="AK300" i="1" s="1"/>
  <c r="AA300" i="1"/>
  <c r="AB300" i="1"/>
  <c r="AC300" i="1"/>
  <c r="AD300" i="1"/>
  <c r="AE300" i="1"/>
  <c r="AF300" i="1"/>
  <c r="AG300" i="1"/>
  <c r="AI300" i="1"/>
  <c r="AR299" i="1" s="1"/>
  <c r="AJ300" i="1"/>
  <c r="AS299" i="1" s="1"/>
  <c r="AN300" i="1"/>
  <c r="AV300" i="1" s="1"/>
  <c r="AU300" i="1" s="1"/>
  <c r="AO300" i="1"/>
  <c r="J300" i="1" s="1"/>
  <c r="J299" i="1" s="1"/>
  <c r="AW300" i="1"/>
  <c r="BB300" i="1" s="1"/>
  <c r="BC300" i="1"/>
  <c r="BE300" i="1"/>
  <c r="BG300" i="1"/>
  <c r="BI300" i="1"/>
  <c r="Y300" i="1" s="1"/>
  <c r="K301" i="1"/>
  <c r="I302" i="1"/>
  <c r="I301" i="1" s="1"/>
  <c r="J302" i="1"/>
  <c r="J301" i="1" s="1"/>
  <c r="K302" i="1"/>
  <c r="AA302" i="1"/>
  <c r="AB302" i="1"/>
  <c r="AC302" i="1"/>
  <c r="AD302" i="1"/>
  <c r="AE302" i="1"/>
  <c r="AF302" i="1"/>
  <c r="AG302" i="1"/>
  <c r="AI302" i="1"/>
  <c r="AR301" i="1" s="1"/>
  <c r="AJ302" i="1"/>
  <c r="AS301" i="1" s="1"/>
  <c r="AK302" i="1"/>
  <c r="AT301" i="1" s="1"/>
  <c r="AN302" i="1"/>
  <c r="AO302" i="1"/>
  <c r="AW302" i="1" s="1"/>
  <c r="AV302" i="1"/>
  <c r="BC302" i="1"/>
  <c r="BE302" i="1"/>
  <c r="BG302" i="1"/>
  <c r="BI302" i="1"/>
  <c r="Y302" i="1" s="1"/>
  <c r="K303" i="1"/>
  <c r="AR303" i="1"/>
  <c r="J304" i="1"/>
  <c r="J303" i="1" s="1"/>
  <c r="K304" i="1"/>
  <c r="AK304" i="1" s="1"/>
  <c r="AT303" i="1" s="1"/>
  <c r="AA304" i="1"/>
  <c r="AB304" i="1"/>
  <c r="AC304" i="1"/>
  <c r="AD304" i="1"/>
  <c r="AE304" i="1"/>
  <c r="AF304" i="1"/>
  <c r="AG304" i="1"/>
  <c r="AI304" i="1"/>
  <c r="AJ304" i="1"/>
  <c r="AS303" i="1" s="1"/>
  <c r="AN304" i="1"/>
  <c r="AO304" i="1"/>
  <c r="AW304" i="1"/>
  <c r="BC304" i="1"/>
  <c r="BE304" i="1"/>
  <c r="BH304" i="1"/>
  <c r="BI304" i="1"/>
  <c r="Y304" i="1" s="1"/>
  <c r="AR305" i="1"/>
  <c r="AS305" i="1"/>
  <c r="K306" i="1"/>
  <c r="Y306" i="1"/>
  <c r="AA306" i="1"/>
  <c r="AB306" i="1"/>
  <c r="AC306" i="1"/>
  <c r="AD306" i="1"/>
  <c r="AE306" i="1"/>
  <c r="AF306" i="1"/>
  <c r="AG306" i="1"/>
  <c r="AI306" i="1"/>
  <c r="AJ306" i="1"/>
  <c r="AN306" i="1"/>
  <c r="AO306" i="1"/>
  <c r="J306" i="1" s="1"/>
  <c r="J305" i="1" s="1"/>
  <c r="BC306" i="1"/>
  <c r="BE306" i="1"/>
  <c r="BH306" i="1"/>
  <c r="BI306" i="1"/>
  <c r="K308" i="1"/>
  <c r="AK308" i="1" s="1"/>
  <c r="AT307" i="1" s="1"/>
  <c r="AA308" i="1"/>
  <c r="AB308" i="1"/>
  <c r="AC308" i="1"/>
  <c r="AD308" i="1"/>
  <c r="AE308" i="1"/>
  <c r="AF308" i="1"/>
  <c r="AG308" i="1"/>
  <c r="AI308" i="1"/>
  <c r="AR307" i="1" s="1"/>
  <c r="AJ308" i="1"/>
  <c r="AS307" i="1" s="1"/>
  <c r="AN308" i="1"/>
  <c r="AV308" i="1" s="1"/>
  <c r="AO308" i="1"/>
  <c r="BC308" i="1"/>
  <c r="BE308" i="1"/>
  <c r="BG308" i="1"/>
  <c r="BI308" i="1"/>
  <c r="Y308" i="1" s="1"/>
  <c r="K309" i="1"/>
  <c r="AT309" i="1"/>
  <c r="I310" i="1"/>
  <c r="I309" i="1" s="1"/>
  <c r="K310" i="1"/>
  <c r="Y310" i="1"/>
  <c r="AA310" i="1"/>
  <c r="AB310" i="1"/>
  <c r="AC310" i="1"/>
  <c r="AD310" i="1"/>
  <c r="AE310" i="1"/>
  <c r="AF310" i="1"/>
  <c r="AG310" i="1"/>
  <c r="AI310" i="1"/>
  <c r="AR309" i="1" s="1"/>
  <c r="AJ310" i="1"/>
  <c r="AS309" i="1" s="1"/>
  <c r="AK310" i="1"/>
  <c r="AN310" i="1"/>
  <c r="AO310" i="1"/>
  <c r="AV310" i="1"/>
  <c r="BC310" i="1"/>
  <c r="BE310" i="1"/>
  <c r="BG310" i="1"/>
  <c r="BI310" i="1"/>
  <c r="K311" i="1"/>
  <c r="AR311" i="1"/>
  <c r="AS311" i="1"/>
  <c r="J312" i="1"/>
  <c r="J311" i="1" s="1"/>
  <c r="K312" i="1"/>
  <c r="AA312" i="1"/>
  <c r="AB312" i="1"/>
  <c r="AC312" i="1"/>
  <c r="AD312" i="1"/>
  <c r="AE312" i="1"/>
  <c r="AF312" i="1"/>
  <c r="AG312" i="1"/>
  <c r="AI312" i="1"/>
  <c r="AJ312" i="1"/>
  <c r="AK312" i="1"/>
  <c r="AT311" i="1" s="1"/>
  <c r="AN312" i="1"/>
  <c r="I312" i="1" s="1"/>
  <c r="I311" i="1" s="1"/>
  <c r="AO312" i="1"/>
  <c r="AW312" i="1"/>
  <c r="BC312" i="1"/>
  <c r="BE312" i="1"/>
  <c r="BH312" i="1"/>
  <c r="BI312" i="1"/>
  <c r="Y312" i="1" s="1"/>
  <c r="I313" i="1"/>
  <c r="AR313" i="1"/>
  <c r="AS313" i="1"/>
  <c r="J314" i="1"/>
  <c r="J313" i="1" s="1"/>
  <c r="K314" i="1"/>
  <c r="K313" i="1" s="1"/>
  <c r="Y314" i="1"/>
  <c r="AA314" i="1"/>
  <c r="AB314" i="1"/>
  <c r="AC314" i="1"/>
  <c r="AD314" i="1"/>
  <c r="AE314" i="1"/>
  <c r="AF314" i="1"/>
  <c r="AG314" i="1"/>
  <c r="AI314" i="1"/>
  <c r="AJ314" i="1"/>
  <c r="AN314" i="1"/>
  <c r="I314" i="1" s="1"/>
  <c r="AO314" i="1"/>
  <c r="AV314" i="1"/>
  <c r="AW314" i="1"/>
  <c r="BC314" i="1"/>
  <c r="BE314" i="1"/>
  <c r="BH314" i="1"/>
  <c r="BI314" i="1"/>
  <c r="AT315" i="1"/>
  <c r="K316" i="1"/>
  <c r="AK316" i="1" s="1"/>
  <c r="AA316" i="1"/>
  <c r="AB316" i="1"/>
  <c r="AC316" i="1"/>
  <c r="AD316" i="1"/>
  <c r="AE316" i="1"/>
  <c r="AF316" i="1"/>
  <c r="AG316" i="1"/>
  <c r="AI316" i="1"/>
  <c r="AR315" i="1" s="1"/>
  <c r="AJ316" i="1"/>
  <c r="AS315" i="1" s="1"/>
  <c r="AN316" i="1"/>
  <c r="AV316" i="1" s="1"/>
  <c r="AO316" i="1"/>
  <c r="J316" i="1" s="1"/>
  <c r="J315" i="1" s="1"/>
  <c r="AW316" i="1"/>
  <c r="BB316" i="1" s="1"/>
  <c r="BC316" i="1"/>
  <c r="BE316" i="1"/>
  <c r="BG316" i="1"/>
  <c r="BI316" i="1"/>
  <c r="Y316" i="1" s="1"/>
  <c r="K317" i="1"/>
  <c r="I318" i="1"/>
  <c r="I317" i="1" s="1"/>
  <c r="J318" i="1"/>
  <c r="J317" i="1" s="1"/>
  <c r="K318" i="1"/>
  <c r="AA318" i="1"/>
  <c r="AB318" i="1"/>
  <c r="AC318" i="1"/>
  <c r="AD318" i="1"/>
  <c r="AE318" i="1"/>
  <c r="AF318" i="1"/>
  <c r="AG318" i="1"/>
  <c r="AI318" i="1"/>
  <c r="AR317" i="1" s="1"/>
  <c r="AJ318" i="1"/>
  <c r="AS317" i="1" s="1"/>
  <c r="AK318" i="1"/>
  <c r="AT317" i="1" s="1"/>
  <c r="AN318" i="1"/>
  <c r="AO318" i="1"/>
  <c r="AW318" i="1" s="1"/>
  <c r="AV318" i="1"/>
  <c r="BC318" i="1"/>
  <c r="BE318" i="1"/>
  <c r="BG318" i="1"/>
  <c r="BI318" i="1"/>
  <c r="Y318" i="1" s="1"/>
  <c r="K319" i="1"/>
  <c r="AR319" i="1"/>
  <c r="J320" i="1"/>
  <c r="J319" i="1" s="1"/>
  <c r="K320" i="1"/>
  <c r="AK320" i="1" s="1"/>
  <c r="AT319" i="1" s="1"/>
  <c r="AA320" i="1"/>
  <c r="AB320" i="1"/>
  <c r="AC320" i="1"/>
  <c r="AD320" i="1"/>
  <c r="AE320" i="1"/>
  <c r="AF320" i="1"/>
  <c r="AG320" i="1"/>
  <c r="AI320" i="1"/>
  <c r="AJ320" i="1"/>
  <c r="AS319" i="1" s="1"/>
  <c r="AN320" i="1"/>
  <c r="AO320" i="1"/>
  <c r="AW320" i="1"/>
  <c r="BC320" i="1"/>
  <c r="BE320" i="1"/>
  <c r="BH320" i="1"/>
  <c r="BI320" i="1"/>
  <c r="Y320" i="1" s="1"/>
  <c r="AR321" i="1"/>
  <c r="AS321" i="1"/>
  <c r="K322" i="1"/>
  <c r="Y322" i="1"/>
  <c r="AA322" i="1"/>
  <c r="AB322" i="1"/>
  <c r="AC322" i="1"/>
  <c r="AD322" i="1"/>
  <c r="AE322" i="1"/>
  <c r="AF322" i="1"/>
  <c r="AG322" i="1"/>
  <c r="AI322" i="1"/>
  <c r="AJ322" i="1"/>
  <c r="AN322" i="1"/>
  <c r="AO322" i="1"/>
  <c r="J322" i="1" s="1"/>
  <c r="J321" i="1" s="1"/>
  <c r="BC322" i="1"/>
  <c r="BE322" i="1"/>
  <c r="BH322" i="1"/>
  <c r="BI322" i="1"/>
  <c r="K324" i="1"/>
  <c r="AK324" i="1" s="1"/>
  <c r="AT323" i="1" s="1"/>
  <c r="AA324" i="1"/>
  <c r="AB324" i="1"/>
  <c r="AC324" i="1"/>
  <c r="AD324" i="1"/>
  <c r="AE324" i="1"/>
  <c r="AF324" i="1"/>
  <c r="AG324" i="1"/>
  <c r="AI324" i="1"/>
  <c r="AR323" i="1" s="1"/>
  <c r="AJ324" i="1"/>
  <c r="AS323" i="1" s="1"/>
  <c r="AN324" i="1"/>
  <c r="AV324" i="1" s="1"/>
  <c r="AO324" i="1"/>
  <c r="BC324" i="1"/>
  <c r="BE324" i="1"/>
  <c r="BG324" i="1"/>
  <c r="BI324" i="1"/>
  <c r="Y324" i="1" s="1"/>
  <c r="K325" i="1"/>
  <c r="AT325" i="1"/>
  <c r="I326" i="1"/>
  <c r="I325" i="1" s="1"/>
  <c r="K326" i="1"/>
  <c r="Y326" i="1"/>
  <c r="AA326" i="1"/>
  <c r="AB326" i="1"/>
  <c r="AC326" i="1"/>
  <c r="AD326" i="1"/>
  <c r="AE326" i="1"/>
  <c r="AF326" i="1"/>
  <c r="AG326" i="1"/>
  <c r="AI326" i="1"/>
  <c r="AR325" i="1" s="1"/>
  <c r="AJ326" i="1"/>
  <c r="AS325" i="1" s="1"/>
  <c r="AK326" i="1"/>
  <c r="AN326" i="1"/>
  <c r="AO326" i="1"/>
  <c r="AV326" i="1"/>
  <c r="BC326" i="1"/>
  <c r="BE326" i="1"/>
  <c r="BG326" i="1"/>
  <c r="BI326" i="1"/>
  <c r="K328" i="1"/>
  <c r="AA328" i="1"/>
  <c r="AB328" i="1"/>
  <c r="AC328" i="1"/>
  <c r="AD328" i="1"/>
  <c r="AE328" i="1"/>
  <c r="AF328" i="1"/>
  <c r="AG328" i="1"/>
  <c r="AI328" i="1"/>
  <c r="AR327" i="1" s="1"/>
  <c r="AJ328" i="1"/>
  <c r="AN328" i="1"/>
  <c r="AO328" i="1"/>
  <c r="J328" i="1" s="1"/>
  <c r="J327" i="1" s="1"/>
  <c r="AW328" i="1"/>
  <c r="BC328" i="1"/>
  <c r="BE328" i="1"/>
  <c r="BG328" i="1"/>
  <c r="BH328" i="1"/>
  <c r="BI328" i="1"/>
  <c r="Y328" i="1" s="1"/>
  <c r="J329" i="1"/>
  <c r="K329" i="1"/>
  <c r="Y329" i="1"/>
  <c r="AA329" i="1"/>
  <c r="AB329" i="1"/>
  <c r="AC329" i="1"/>
  <c r="AD329" i="1"/>
  <c r="AE329" i="1"/>
  <c r="AF329" i="1"/>
  <c r="AG329" i="1"/>
  <c r="AI329" i="1"/>
  <c r="AJ329" i="1"/>
  <c r="AK329" i="1"/>
  <c r="AN329" i="1"/>
  <c r="I329" i="1" s="1"/>
  <c r="AO329" i="1"/>
  <c r="AW329" i="1" s="1"/>
  <c r="AV329" i="1"/>
  <c r="BC329" i="1"/>
  <c r="BE329" i="1"/>
  <c r="BG329" i="1"/>
  <c r="BH329" i="1"/>
  <c r="BI329" i="1"/>
  <c r="I330" i="1"/>
  <c r="J330" i="1"/>
  <c r="K330" i="1"/>
  <c r="AK330" i="1" s="1"/>
  <c r="AA330" i="1"/>
  <c r="AB330" i="1"/>
  <c r="AC330" i="1"/>
  <c r="AD330" i="1"/>
  <c r="AE330" i="1"/>
  <c r="AF330" i="1"/>
  <c r="AG330" i="1"/>
  <c r="AI330" i="1"/>
  <c r="AJ330" i="1"/>
  <c r="AS327" i="1" s="1"/>
  <c r="AN330" i="1"/>
  <c r="AV330" i="1" s="1"/>
  <c r="BB330" i="1" s="1"/>
  <c r="AO330" i="1"/>
  <c r="AU330" i="1"/>
  <c r="AW330" i="1"/>
  <c r="BC330" i="1"/>
  <c r="BE330" i="1"/>
  <c r="BG330" i="1"/>
  <c r="BH330" i="1"/>
  <c r="BI330" i="1"/>
  <c r="Y330" i="1" s="1"/>
  <c r="J332" i="1"/>
  <c r="K332" i="1"/>
  <c r="K331" i="1" s="1"/>
  <c r="Y332" i="1"/>
  <c r="AA332" i="1"/>
  <c r="AB332" i="1"/>
  <c r="AC332" i="1"/>
  <c r="AD332" i="1"/>
  <c r="AF332" i="1"/>
  <c r="AG332" i="1"/>
  <c r="AI332" i="1"/>
  <c r="AJ332" i="1"/>
  <c r="AK332" i="1"/>
  <c r="AN332" i="1"/>
  <c r="I332" i="1" s="1"/>
  <c r="AO332" i="1"/>
  <c r="AW332" i="1" s="1"/>
  <c r="AV332" i="1"/>
  <c r="BC332" i="1"/>
  <c r="BE332" i="1"/>
  <c r="BG332" i="1"/>
  <c r="AE332" i="1" s="1"/>
  <c r="BH332" i="1"/>
  <c r="BI332" i="1"/>
  <c r="I333" i="1"/>
  <c r="J333" i="1"/>
  <c r="K333" i="1"/>
  <c r="AK333" i="1" s="1"/>
  <c r="Y333" i="1"/>
  <c r="AA333" i="1"/>
  <c r="AB333" i="1"/>
  <c r="AC333" i="1"/>
  <c r="AD333" i="1"/>
  <c r="AE333" i="1"/>
  <c r="AF333" i="1"/>
  <c r="AG333" i="1"/>
  <c r="AI333" i="1"/>
  <c r="AJ333" i="1"/>
  <c r="AN333" i="1"/>
  <c r="AV333" i="1" s="1"/>
  <c r="BB333" i="1" s="1"/>
  <c r="AO333" i="1"/>
  <c r="AW333" i="1"/>
  <c r="BC333" i="1"/>
  <c r="BE333" i="1"/>
  <c r="BG333" i="1"/>
  <c r="BH333" i="1"/>
  <c r="BI333" i="1"/>
  <c r="I334" i="1"/>
  <c r="K334" i="1"/>
  <c r="Y334" i="1"/>
  <c r="AA334" i="1"/>
  <c r="AC334" i="1"/>
  <c r="AD334" i="1"/>
  <c r="AE334" i="1"/>
  <c r="AF334" i="1"/>
  <c r="AG334" i="1"/>
  <c r="AI334" i="1"/>
  <c r="AR331" i="1" s="1"/>
  <c r="AJ334" i="1"/>
  <c r="AK334" i="1"/>
  <c r="AN334" i="1"/>
  <c r="AO334" i="1"/>
  <c r="AV334" i="1"/>
  <c r="BC334" i="1"/>
  <c r="BE334" i="1"/>
  <c r="BG334" i="1"/>
  <c r="BH334" i="1"/>
  <c r="AB334" i="1" s="1"/>
  <c r="BI334" i="1"/>
  <c r="K335" i="1"/>
  <c r="AK335" i="1" s="1"/>
  <c r="Y335" i="1"/>
  <c r="AC335" i="1"/>
  <c r="AD335" i="1"/>
  <c r="AE335" i="1"/>
  <c r="AF335" i="1"/>
  <c r="AG335" i="1"/>
  <c r="AI335" i="1"/>
  <c r="AJ335" i="1"/>
  <c r="AN335" i="1"/>
  <c r="AO335" i="1"/>
  <c r="J335" i="1" s="1"/>
  <c r="AW335" i="1"/>
  <c r="BC335" i="1"/>
  <c r="BE335" i="1"/>
  <c r="BH335" i="1"/>
  <c r="AB335" i="1" s="1"/>
  <c r="BI335" i="1"/>
  <c r="J336" i="1"/>
  <c r="K336" i="1"/>
  <c r="Y336" i="1"/>
  <c r="AA336" i="1"/>
  <c r="AB336" i="1"/>
  <c r="AC336" i="1"/>
  <c r="AD336" i="1"/>
  <c r="AF336" i="1"/>
  <c r="AG336" i="1"/>
  <c r="AI336" i="1"/>
  <c r="AJ336" i="1"/>
  <c r="AK336" i="1"/>
  <c r="AN336" i="1"/>
  <c r="I336" i="1" s="1"/>
  <c r="AO336" i="1"/>
  <c r="AW336" i="1" s="1"/>
  <c r="AV336" i="1"/>
  <c r="BC336" i="1"/>
  <c r="BE336" i="1"/>
  <c r="BG336" i="1"/>
  <c r="AE336" i="1" s="1"/>
  <c r="BH336" i="1"/>
  <c r="BI336" i="1"/>
  <c r="I337" i="1"/>
  <c r="J337" i="1"/>
  <c r="K337" i="1"/>
  <c r="AK337" i="1" s="1"/>
  <c r="Y337" i="1"/>
  <c r="AA337" i="1"/>
  <c r="AB337" i="1"/>
  <c r="AC337" i="1"/>
  <c r="AD337" i="1"/>
  <c r="AE337" i="1"/>
  <c r="AF337" i="1"/>
  <c r="AG337" i="1"/>
  <c r="AI337" i="1"/>
  <c r="AJ337" i="1"/>
  <c r="AN337" i="1"/>
  <c r="AV337" i="1" s="1"/>
  <c r="BB337" i="1" s="1"/>
  <c r="AO337" i="1"/>
  <c r="AW337" i="1"/>
  <c r="BC337" i="1"/>
  <c r="BE337" i="1"/>
  <c r="BG337" i="1"/>
  <c r="BH337" i="1"/>
  <c r="BI337" i="1"/>
  <c r="J339" i="1"/>
  <c r="K339" i="1"/>
  <c r="Y339" i="1"/>
  <c r="AA339" i="1"/>
  <c r="AB339" i="1"/>
  <c r="AC339" i="1"/>
  <c r="AD339" i="1"/>
  <c r="AF339" i="1"/>
  <c r="AG339" i="1"/>
  <c r="AI339" i="1"/>
  <c r="AJ339" i="1"/>
  <c r="AK339" i="1"/>
  <c r="AN339" i="1"/>
  <c r="I339" i="1" s="1"/>
  <c r="AO339" i="1"/>
  <c r="AW339" i="1" s="1"/>
  <c r="AV339" i="1"/>
  <c r="BC339" i="1"/>
  <c r="BE339" i="1"/>
  <c r="BG339" i="1"/>
  <c r="AE339" i="1" s="1"/>
  <c r="BH339" i="1"/>
  <c r="BI339" i="1"/>
  <c r="I340" i="1"/>
  <c r="J340" i="1"/>
  <c r="K340" i="1"/>
  <c r="AK340" i="1" s="1"/>
  <c r="Y340" i="1"/>
  <c r="AA340" i="1"/>
  <c r="AB340" i="1"/>
  <c r="AC340" i="1"/>
  <c r="AD340" i="1"/>
  <c r="AE340" i="1"/>
  <c r="AF340" i="1"/>
  <c r="AG340" i="1"/>
  <c r="AI340" i="1"/>
  <c r="AJ340" i="1"/>
  <c r="AN340" i="1"/>
  <c r="AV340" i="1" s="1"/>
  <c r="BB340" i="1" s="1"/>
  <c r="AO340" i="1"/>
  <c r="AW340" i="1"/>
  <c r="BC340" i="1"/>
  <c r="BE340" i="1"/>
  <c r="BG340" i="1"/>
  <c r="BH340" i="1"/>
  <c r="BI340" i="1"/>
  <c r="I341" i="1"/>
  <c r="K341" i="1"/>
  <c r="Y341" i="1"/>
  <c r="AA341" i="1"/>
  <c r="AB341" i="1"/>
  <c r="AC341" i="1"/>
  <c r="AD341" i="1"/>
  <c r="AE341" i="1"/>
  <c r="AG341" i="1"/>
  <c r="AI341" i="1"/>
  <c r="AR338" i="1" s="1"/>
  <c r="AJ341" i="1"/>
  <c r="AK341" i="1"/>
  <c r="AN341" i="1"/>
  <c r="AO341" i="1"/>
  <c r="AV341" i="1"/>
  <c r="BC341" i="1"/>
  <c r="BE341" i="1"/>
  <c r="BG341" i="1"/>
  <c r="BH341" i="1"/>
  <c r="AF341" i="1" s="1"/>
  <c r="BI341" i="1"/>
  <c r="K342" i="1"/>
  <c r="AK342" i="1" s="1"/>
  <c r="Y342" i="1"/>
  <c r="AA342" i="1"/>
  <c r="AB342" i="1"/>
  <c r="AC342" i="1"/>
  <c r="AD342" i="1"/>
  <c r="AG342" i="1"/>
  <c r="AI342" i="1"/>
  <c r="AJ342" i="1"/>
  <c r="AN342" i="1"/>
  <c r="AO342" i="1"/>
  <c r="J342" i="1" s="1"/>
  <c r="AW342" i="1"/>
  <c r="BC342" i="1"/>
  <c r="BE342" i="1"/>
  <c r="BG342" i="1"/>
  <c r="AE342" i="1" s="1"/>
  <c r="BH342" i="1"/>
  <c r="AF342" i="1" s="1"/>
  <c r="BI342" i="1"/>
  <c r="J343" i="1"/>
  <c r="K343" i="1"/>
  <c r="Y343" i="1"/>
  <c r="AA343" i="1"/>
  <c r="AB343" i="1"/>
  <c r="AC343" i="1"/>
  <c r="AD343" i="1"/>
  <c r="AF343" i="1"/>
  <c r="AG343" i="1"/>
  <c r="AI343" i="1"/>
  <c r="AJ343" i="1"/>
  <c r="AK343" i="1"/>
  <c r="AN343" i="1"/>
  <c r="I343" i="1" s="1"/>
  <c r="AO343" i="1"/>
  <c r="AW343" i="1" s="1"/>
  <c r="AV343" i="1"/>
  <c r="BC343" i="1"/>
  <c r="BE343" i="1"/>
  <c r="BG343" i="1"/>
  <c r="AE343" i="1" s="1"/>
  <c r="BH343" i="1"/>
  <c r="BI343" i="1"/>
  <c r="I344" i="1"/>
  <c r="J344" i="1"/>
  <c r="K344" i="1"/>
  <c r="AK344" i="1" s="1"/>
  <c r="Y344" i="1"/>
  <c r="AA344" i="1"/>
  <c r="AB344" i="1"/>
  <c r="AC344" i="1"/>
  <c r="AD344" i="1"/>
  <c r="AE344" i="1"/>
  <c r="AF344" i="1"/>
  <c r="AG344" i="1"/>
  <c r="AI344" i="1"/>
  <c r="AJ344" i="1"/>
  <c r="AN344" i="1"/>
  <c r="AV344" i="1" s="1"/>
  <c r="BB344" i="1" s="1"/>
  <c r="AO344" i="1"/>
  <c r="AW344" i="1"/>
  <c r="BC344" i="1"/>
  <c r="BE344" i="1"/>
  <c r="BG344" i="1"/>
  <c r="BH344" i="1"/>
  <c r="BI344" i="1"/>
  <c r="I345" i="1"/>
  <c r="K345" i="1"/>
  <c r="Y345" i="1"/>
  <c r="AA345" i="1"/>
  <c r="AB345" i="1"/>
  <c r="AC345" i="1"/>
  <c r="AD345" i="1"/>
  <c r="AE345" i="1"/>
  <c r="AG345" i="1"/>
  <c r="AI345" i="1"/>
  <c r="AJ345" i="1"/>
  <c r="AK345" i="1"/>
  <c r="AN345" i="1"/>
  <c r="AO345" i="1"/>
  <c r="AV345" i="1"/>
  <c r="BC345" i="1"/>
  <c r="BE345" i="1"/>
  <c r="BG345" i="1"/>
  <c r="BH345" i="1"/>
  <c r="AF345" i="1" s="1"/>
  <c r="BI345" i="1"/>
  <c r="K346" i="1"/>
  <c r="AK346" i="1" s="1"/>
  <c r="Y346" i="1"/>
  <c r="AA346" i="1"/>
  <c r="AB346" i="1"/>
  <c r="AC346" i="1"/>
  <c r="AD346" i="1"/>
  <c r="AG346" i="1"/>
  <c r="AI346" i="1"/>
  <c r="AJ346" i="1"/>
  <c r="AN346" i="1"/>
  <c r="AO346" i="1"/>
  <c r="J346" i="1" s="1"/>
  <c r="AW346" i="1"/>
  <c r="BC346" i="1"/>
  <c r="BE346" i="1"/>
  <c r="BG346" i="1"/>
  <c r="AE346" i="1" s="1"/>
  <c r="BH346" i="1"/>
  <c r="AF346" i="1" s="1"/>
  <c r="BI346" i="1"/>
  <c r="J347" i="1"/>
  <c r="K347" i="1"/>
  <c r="Y347" i="1"/>
  <c r="AA347" i="1"/>
  <c r="AB347" i="1"/>
  <c r="AC347" i="1"/>
  <c r="AD347" i="1"/>
  <c r="AF347" i="1"/>
  <c r="AG347" i="1"/>
  <c r="AI347" i="1"/>
  <c r="AJ347" i="1"/>
  <c r="AK347" i="1"/>
  <c r="AN347" i="1"/>
  <c r="I347" i="1" s="1"/>
  <c r="AO347" i="1"/>
  <c r="AW347" i="1" s="1"/>
  <c r="AV347" i="1"/>
  <c r="BC347" i="1"/>
  <c r="BE347" i="1"/>
  <c r="BG347" i="1"/>
  <c r="AE347" i="1" s="1"/>
  <c r="BH347" i="1"/>
  <c r="BI347" i="1"/>
  <c r="I348" i="1"/>
  <c r="J348" i="1"/>
  <c r="K348" i="1"/>
  <c r="AK348" i="1" s="1"/>
  <c r="Y348" i="1"/>
  <c r="AA348" i="1"/>
  <c r="AB348" i="1"/>
  <c r="AC348" i="1"/>
  <c r="AD348" i="1"/>
  <c r="AE348" i="1"/>
  <c r="AF348" i="1"/>
  <c r="AG348" i="1"/>
  <c r="AI348" i="1"/>
  <c r="AJ348" i="1"/>
  <c r="AN348" i="1"/>
  <c r="AV348" i="1" s="1"/>
  <c r="BB348" i="1" s="1"/>
  <c r="AO348" i="1"/>
  <c r="AW348" i="1"/>
  <c r="BC348" i="1"/>
  <c r="BE348" i="1"/>
  <c r="BG348" i="1"/>
  <c r="BH348" i="1"/>
  <c r="BI348" i="1"/>
  <c r="I349" i="1"/>
  <c r="K349" i="1"/>
  <c r="Y349" i="1"/>
  <c r="AA349" i="1"/>
  <c r="AB349" i="1"/>
  <c r="AC349" i="1"/>
  <c r="AD349" i="1"/>
  <c r="AE349" i="1"/>
  <c r="AG349" i="1"/>
  <c r="AI349" i="1"/>
  <c r="AJ349" i="1"/>
  <c r="AK349" i="1"/>
  <c r="AN349" i="1"/>
  <c r="AO349" i="1"/>
  <c r="AV349" i="1"/>
  <c r="BC349" i="1"/>
  <c r="BE349" i="1"/>
  <c r="BG349" i="1"/>
  <c r="BH349" i="1"/>
  <c r="AF349" i="1" s="1"/>
  <c r="BI349" i="1"/>
  <c r="I350" i="1"/>
  <c r="K350" i="1"/>
  <c r="AK350" i="1" s="1"/>
  <c r="Y350" i="1"/>
  <c r="AA350" i="1"/>
  <c r="AB350" i="1"/>
  <c r="AC350" i="1"/>
  <c r="AD350" i="1"/>
  <c r="AG350" i="1"/>
  <c r="AI350" i="1"/>
  <c r="AJ350" i="1"/>
  <c r="AN350" i="1"/>
  <c r="AV350" i="1" s="1"/>
  <c r="AU350" i="1" s="1"/>
  <c r="AO350" i="1"/>
  <c r="J350" i="1" s="1"/>
  <c r="AW350" i="1"/>
  <c r="BC350" i="1"/>
  <c r="BE350" i="1"/>
  <c r="BH350" i="1"/>
  <c r="AF350" i="1" s="1"/>
  <c r="BI350" i="1"/>
  <c r="J351" i="1"/>
  <c r="K351" i="1"/>
  <c r="Y351" i="1"/>
  <c r="AA351" i="1"/>
  <c r="AB351" i="1"/>
  <c r="AC351" i="1"/>
  <c r="AD351" i="1"/>
  <c r="AG351" i="1"/>
  <c r="AI351" i="1"/>
  <c r="AJ351" i="1"/>
  <c r="AK351" i="1"/>
  <c r="AN351" i="1"/>
  <c r="I351" i="1" s="1"/>
  <c r="AO351" i="1"/>
  <c r="AW351" i="1" s="1"/>
  <c r="AV351" i="1"/>
  <c r="AU351" i="1" s="1"/>
  <c r="BC351" i="1"/>
  <c r="BE351" i="1"/>
  <c r="BG351" i="1"/>
  <c r="AE351" i="1" s="1"/>
  <c r="BH351" i="1"/>
  <c r="AF351" i="1" s="1"/>
  <c r="BI351" i="1"/>
  <c r="J352" i="1"/>
  <c r="K352" i="1"/>
  <c r="AK352" i="1" s="1"/>
  <c r="Y352" i="1"/>
  <c r="AA352" i="1"/>
  <c r="AB352" i="1"/>
  <c r="AC352" i="1"/>
  <c r="AD352" i="1"/>
  <c r="AF352" i="1"/>
  <c r="AG352" i="1"/>
  <c r="AI352" i="1"/>
  <c r="AJ352" i="1"/>
  <c r="AN352" i="1"/>
  <c r="AV352" i="1" s="1"/>
  <c r="BB352" i="1" s="1"/>
  <c r="AO352" i="1"/>
  <c r="AW352" i="1"/>
  <c r="BC352" i="1"/>
  <c r="BE352" i="1"/>
  <c r="BH352" i="1"/>
  <c r="BI352" i="1"/>
  <c r="I353" i="1"/>
  <c r="K353" i="1"/>
  <c r="Y353" i="1"/>
  <c r="AA353" i="1"/>
  <c r="AB353" i="1"/>
  <c r="AC353" i="1"/>
  <c r="AD353" i="1"/>
  <c r="AE353" i="1"/>
  <c r="AG353" i="1"/>
  <c r="AI353" i="1"/>
  <c r="AJ353" i="1"/>
  <c r="AK353" i="1"/>
  <c r="AN353" i="1"/>
  <c r="AO353" i="1"/>
  <c r="AW353" i="1" s="1"/>
  <c r="BB353" i="1" s="1"/>
  <c r="AV353" i="1"/>
  <c r="BC353" i="1"/>
  <c r="BE353" i="1"/>
  <c r="BG353" i="1"/>
  <c r="BI353" i="1"/>
  <c r="I354" i="1"/>
  <c r="K354" i="1"/>
  <c r="AK354" i="1" s="1"/>
  <c r="Y354" i="1"/>
  <c r="AA354" i="1"/>
  <c r="AB354" i="1"/>
  <c r="AC354" i="1"/>
  <c r="AD354" i="1"/>
  <c r="AG354" i="1"/>
  <c r="AI354" i="1"/>
  <c r="AJ354" i="1"/>
  <c r="AN354" i="1"/>
  <c r="AV354" i="1" s="1"/>
  <c r="AO354" i="1"/>
  <c r="J354" i="1" s="1"/>
  <c r="AW354" i="1"/>
  <c r="AU354" i="1" s="1"/>
  <c r="BC354" i="1"/>
  <c r="BE354" i="1"/>
  <c r="BG354" i="1"/>
  <c r="AE354" i="1" s="1"/>
  <c r="BH354" i="1"/>
  <c r="AF354" i="1" s="1"/>
  <c r="BI354" i="1"/>
  <c r="J355" i="1"/>
  <c r="K355" i="1"/>
  <c r="AK355" i="1" s="1"/>
  <c r="Y355" i="1"/>
  <c r="AA355" i="1"/>
  <c r="AB355" i="1"/>
  <c r="AC355" i="1"/>
  <c r="AD355" i="1"/>
  <c r="AG355" i="1"/>
  <c r="AI355" i="1"/>
  <c r="AJ355" i="1"/>
  <c r="AN355" i="1"/>
  <c r="I355" i="1" s="1"/>
  <c r="AO355" i="1"/>
  <c r="AW355" i="1" s="1"/>
  <c r="BC355" i="1"/>
  <c r="BE355" i="1"/>
  <c r="BH355" i="1"/>
  <c r="AF355" i="1" s="1"/>
  <c r="BI355" i="1"/>
  <c r="J356" i="1"/>
  <c r="K356" i="1"/>
  <c r="AK356" i="1" s="1"/>
  <c r="Y356" i="1"/>
  <c r="AA356" i="1"/>
  <c r="AB356" i="1"/>
  <c r="AC356" i="1"/>
  <c r="AD356" i="1"/>
  <c r="AF356" i="1"/>
  <c r="AG356" i="1"/>
  <c r="AI356" i="1"/>
  <c r="AJ356" i="1"/>
  <c r="AN356" i="1"/>
  <c r="I356" i="1" s="1"/>
  <c r="AO356" i="1"/>
  <c r="AW356" i="1"/>
  <c r="BC356" i="1"/>
  <c r="BE356" i="1"/>
  <c r="BH356" i="1"/>
  <c r="BI356" i="1"/>
  <c r="I357" i="1"/>
  <c r="K357" i="1"/>
  <c r="Y357" i="1"/>
  <c r="AA357" i="1"/>
  <c r="AB357" i="1"/>
  <c r="AC357" i="1"/>
  <c r="AD357" i="1"/>
  <c r="AE357" i="1"/>
  <c r="AG357" i="1"/>
  <c r="AI357" i="1"/>
  <c r="AJ357" i="1"/>
  <c r="AK357" i="1"/>
  <c r="AN357" i="1"/>
  <c r="AO357" i="1"/>
  <c r="AW357" i="1" s="1"/>
  <c r="AU357" i="1"/>
  <c r="AV357" i="1"/>
  <c r="BB357" i="1"/>
  <c r="BC357" i="1"/>
  <c r="BE357" i="1"/>
  <c r="BG357" i="1"/>
  <c r="BH357" i="1"/>
  <c r="AF357" i="1" s="1"/>
  <c r="BI357" i="1"/>
  <c r="I359" i="1"/>
  <c r="K359" i="1"/>
  <c r="AK359" i="1" s="1"/>
  <c r="Y359" i="1"/>
  <c r="AA359" i="1"/>
  <c r="AB359" i="1"/>
  <c r="AC359" i="1"/>
  <c r="AD359" i="1"/>
  <c r="AG359" i="1"/>
  <c r="AI359" i="1"/>
  <c r="AJ359" i="1"/>
  <c r="AN359" i="1"/>
  <c r="AV359" i="1" s="1"/>
  <c r="AU359" i="1" s="1"/>
  <c r="AO359" i="1"/>
  <c r="J359" i="1" s="1"/>
  <c r="AW359" i="1"/>
  <c r="BB359" i="1" s="1"/>
  <c r="BC359" i="1"/>
  <c r="BE359" i="1"/>
  <c r="BG359" i="1"/>
  <c r="AE359" i="1" s="1"/>
  <c r="BI359" i="1"/>
  <c r="K360" i="1"/>
  <c r="AK360" i="1" s="1"/>
  <c r="Y360" i="1"/>
  <c r="AA360" i="1"/>
  <c r="AB360" i="1"/>
  <c r="AC360" i="1"/>
  <c r="AD360" i="1"/>
  <c r="AG360" i="1"/>
  <c r="AI360" i="1"/>
  <c r="AJ360" i="1"/>
  <c r="AN360" i="1"/>
  <c r="I360" i="1" s="1"/>
  <c r="AO360" i="1"/>
  <c r="AW360" i="1" s="1"/>
  <c r="AV360" i="1"/>
  <c r="BB360" i="1" s="1"/>
  <c r="BC360" i="1"/>
  <c r="BE360" i="1"/>
  <c r="BG360" i="1"/>
  <c r="AE360" i="1" s="1"/>
  <c r="BI360" i="1"/>
  <c r="I361" i="1"/>
  <c r="J361" i="1"/>
  <c r="K361" i="1"/>
  <c r="Y361" i="1"/>
  <c r="AA361" i="1"/>
  <c r="AB361" i="1"/>
  <c r="AC361" i="1"/>
  <c r="AD361" i="1"/>
  <c r="AF361" i="1"/>
  <c r="AG361" i="1"/>
  <c r="AI361" i="1"/>
  <c r="AJ361" i="1"/>
  <c r="AK361" i="1"/>
  <c r="AN361" i="1"/>
  <c r="AO361" i="1"/>
  <c r="AV361" i="1"/>
  <c r="BB361" i="1" s="1"/>
  <c r="AW361" i="1"/>
  <c r="BC361" i="1"/>
  <c r="BE361" i="1"/>
  <c r="BG361" i="1"/>
  <c r="AE361" i="1" s="1"/>
  <c r="BH361" i="1"/>
  <c r="BI361" i="1"/>
  <c r="I362" i="1"/>
  <c r="K362" i="1"/>
  <c r="Y362" i="1"/>
  <c r="AA362" i="1"/>
  <c r="AB362" i="1"/>
  <c r="AC362" i="1"/>
  <c r="AD362" i="1"/>
  <c r="AE362" i="1"/>
  <c r="AG362" i="1"/>
  <c r="AI362" i="1"/>
  <c r="AJ362" i="1"/>
  <c r="AK362" i="1"/>
  <c r="AN362" i="1"/>
  <c r="AO362" i="1"/>
  <c r="AW362" i="1" s="1"/>
  <c r="AV362" i="1"/>
  <c r="AU362" i="1" s="1"/>
  <c r="BC362" i="1"/>
  <c r="BE362" i="1"/>
  <c r="BG362" i="1"/>
  <c r="BI362" i="1"/>
  <c r="K363" i="1"/>
  <c r="AK363" i="1" s="1"/>
  <c r="Y363" i="1"/>
  <c r="AA363" i="1"/>
  <c r="AB363" i="1"/>
  <c r="AC363" i="1"/>
  <c r="AD363" i="1"/>
  <c r="AG363" i="1"/>
  <c r="AI363" i="1"/>
  <c r="AJ363" i="1"/>
  <c r="AN363" i="1"/>
  <c r="AV363" i="1" s="1"/>
  <c r="AO363" i="1"/>
  <c r="J363" i="1" s="1"/>
  <c r="BC363" i="1"/>
  <c r="BE363" i="1"/>
  <c r="BH363" i="1"/>
  <c r="AF363" i="1" s="1"/>
  <c r="BI363" i="1"/>
  <c r="J364" i="1"/>
  <c r="K364" i="1"/>
  <c r="Y364" i="1"/>
  <c r="AA364" i="1"/>
  <c r="AB364" i="1"/>
  <c r="AC364" i="1"/>
  <c r="AD364" i="1"/>
  <c r="AG364" i="1"/>
  <c r="AI364" i="1"/>
  <c r="AJ364" i="1"/>
  <c r="AK364" i="1"/>
  <c r="AN364" i="1"/>
  <c r="I364" i="1" s="1"/>
  <c r="AO364" i="1"/>
  <c r="AV364" i="1"/>
  <c r="AU364" i="1" s="1"/>
  <c r="AW364" i="1"/>
  <c r="BC364" i="1"/>
  <c r="BE364" i="1"/>
  <c r="BH364" i="1"/>
  <c r="AF364" i="1" s="1"/>
  <c r="BI364" i="1"/>
  <c r="I365" i="1"/>
  <c r="J365" i="1"/>
  <c r="K365" i="1"/>
  <c r="AK365" i="1" s="1"/>
  <c r="Y365" i="1"/>
  <c r="AA365" i="1"/>
  <c r="AB365" i="1"/>
  <c r="AC365" i="1"/>
  <c r="AD365" i="1"/>
  <c r="AF365" i="1"/>
  <c r="AG365" i="1"/>
  <c r="AI365" i="1"/>
  <c r="AJ365" i="1"/>
  <c r="AN365" i="1"/>
  <c r="AV365" i="1" s="1"/>
  <c r="AO365" i="1"/>
  <c r="AW365" i="1"/>
  <c r="BC365" i="1"/>
  <c r="BE365" i="1"/>
  <c r="BH365" i="1"/>
  <c r="BI365" i="1"/>
  <c r="I367" i="1"/>
  <c r="J367" i="1"/>
  <c r="K367" i="1"/>
  <c r="Y367" i="1"/>
  <c r="AA367" i="1"/>
  <c r="AB367" i="1"/>
  <c r="AC367" i="1"/>
  <c r="AD367" i="1"/>
  <c r="AE367" i="1"/>
  <c r="AG367" i="1"/>
  <c r="AI367" i="1"/>
  <c r="AJ367" i="1"/>
  <c r="AK367" i="1"/>
  <c r="AN367" i="1"/>
  <c r="AO367" i="1"/>
  <c r="AW367" i="1" s="1"/>
  <c r="AU367" i="1"/>
  <c r="AV367" i="1"/>
  <c r="BB367" i="1"/>
  <c r="BC367" i="1"/>
  <c r="BE367" i="1"/>
  <c r="BG367" i="1"/>
  <c r="BH367" i="1"/>
  <c r="AF367" i="1" s="1"/>
  <c r="BI367" i="1"/>
  <c r="I368" i="1"/>
  <c r="K368" i="1"/>
  <c r="AK368" i="1" s="1"/>
  <c r="Y368" i="1"/>
  <c r="AC368" i="1"/>
  <c r="AD368" i="1"/>
  <c r="AE368" i="1"/>
  <c r="AF368" i="1"/>
  <c r="AG368" i="1"/>
  <c r="AI368" i="1"/>
  <c r="AJ368" i="1"/>
  <c r="AN368" i="1"/>
  <c r="AV368" i="1" s="1"/>
  <c r="AO368" i="1"/>
  <c r="J368" i="1" s="1"/>
  <c r="BC368" i="1"/>
  <c r="BE368" i="1"/>
  <c r="BG368" i="1"/>
  <c r="AA368" i="1" s="1"/>
  <c r="BI368" i="1"/>
  <c r="K370" i="1"/>
  <c r="Y370" i="1"/>
  <c r="AC370" i="1"/>
  <c r="AD370" i="1"/>
  <c r="AE370" i="1"/>
  <c r="AF370" i="1"/>
  <c r="AG370" i="1"/>
  <c r="AI370" i="1"/>
  <c r="AJ370" i="1"/>
  <c r="AK370" i="1"/>
  <c r="AN370" i="1"/>
  <c r="I370" i="1" s="1"/>
  <c r="AO370" i="1"/>
  <c r="J370" i="1" s="1"/>
  <c r="AW370" i="1"/>
  <c r="BC370" i="1"/>
  <c r="BE370" i="1"/>
  <c r="BG370" i="1"/>
  <c r="AA370" i="1" s="1"/>
  <c r="BI370" i="1"/>
  <c r="J371" i="1"/>
  <c r="K371" i="1"/>
  <c r="Y371" i="1"/>
  <c r="AB371" i="1"/>
  <c r="AC371" i="1"/>
  <c r="AD371" i="1"/>
  <c r="AE371" i="1"/>
  <c r="AF371" i="1"/>
  <c r="AG371" i="1"/>
  <c r="AI371" i="1"/>
  <c r="AJ371" i="1"/>
  <c r="AK371" i="1"/>
  <c r="AN371" i="1"/>
  <c r="I371" i="1" s="1"/>
  <c r="AO371" i="1"/>
  <c r="AV371" i="1"/>
  <c r="BB371" i="1" s="1"/>
  <c r="AW371" i="1"/>
  <c r="BC371" i="1"/>
  <c r="BE371" i="1"/>
  <c r="BG371" i="1"/>
  <c r="AA371" i="1" s="1"/>
  <c r="BH371" i="1"/>
  <c r="BI371" i="1"/>
  <c r="I372" i="1"/>
  <c r="J372" i="1"/>
  <c r="K372" i="1"/>
  <c r="Y372" i="1"/>
  <c r="AA372" i="1"/>
  <c r="AC372" i="1"/>
  <c r="AD372" i="1"/>
  <c r="AE372" i="1"/>
  <c r="AF372" i="1"/>
  <c r="AG372" i="1"/>
  <c r="AI372" i="1"/>
  <c r="AJ372" i="1"/>
  <c r="AK372" i="1"/>
  <c r="AN372" i="1"/>
  <c r="AO372" i="1"/>
  <c r="AW372" i="1" s="1"/>
  <c r="AV372" i="1"/>
  <c r="BB372" i="1" s="1"/>
  <c r="BC372" i="1"/>
  <c r="BE372" i="1"/>
  <c r="BG372" i="1"/>
  <c r="BI372" i="1"/>
  <c r="K373" i="1"/>
  <c r="AK373" i="1" s="1"/>
  <c r="Y373" i="1"/>
  <c r="AA373" i="1"/>
  <c r="AB373" i="1"/>
  <c r="AC373" i="1"/>
  <c r="AD373" i="1"/>
  <c r="AG373" i="1"/>
  <c r="AI373" i="1"/>
  <c r="AJ373" i="1"/>
  <c r="AN373" i="1"/>
  <c r="AV373" i="1" s="1"/>
  <c r="AO373" i="1"/>
  <c r="J373" i="1" s="1"/>
  <c r="AU373" i="1"/>
  <c r="AW373" i="1"/>
  <c r="BB373" i="1"/>
  <c r="BC373" i="1"/>
  <c r="BE373" i="1"/>
  <c r="BH373" i="1"/>
  <c r="AF373" i="1" s="1"/>
  <c r="BI373" i="1"/>
  <c r="J374" i="1"/>
  <c r="K374" i="1"/>
  <c r="AK374" i="1" s="1"/>
  <c r="Y374" i="1"/>
  <c r="AC374" i="1"/>
  <c r="AD374" i="1"/>
  <c r="AE374" i="1"/>
  <c r="AF374" i="1"/>
  <c r="AG374" i="1"/>
  <c r="AI374" i="1"/>
  <c r="AJ374" i="1"/>
  <c r="AN374" i="1"/>
  <c r="I374" i="1" s="1"/>
  <c r="AO374" i="1"/>
  <c r="AW374" i="1" s="1"/>
  <c r="BC374" i="1"/>
  <c r="BE374" i="1"/>
  <c r="BH374" i="1"/>
  <c r="AB374" i="1" s="1"/>
  <c r="BI374" i="1"/>
  <c r="J375" i="1"/>
  <c r="K375" i="1"/>
  <c r="AK375" i="1" s="1"/>
  <c r="Y375" i="1"/>
  <c r="AA375" i="1"/>
  <c r="AB375" i="1"/>
  <c r="AC375" i="1"/>
  <c r="AD375" i="1"/>
  <c r="AF375" i="1"/>
  <c r="AG375" i="1"/>
  <c r="AI375" i="1"/>
  <c r="AJ375" i="1"/>
  <c r="AN375" i="1"/>
  <c r="I375" i="1" s="1"/>
  <c r="AO375" i="1"/>
  <c r="AW375" i="1"/>
  <c r="BC375" i="1"/>
  <c r="BE375" i="1"/>
  <c r="BH375" i="1"/>
  <c r="BI375" i="1"/>
  <c r="K377" i="1"/>
  <c r="Y377" i="1"/>
  <c r="AA377" i="1"/>
  <c r="AB377" i="1"/>
  <c r="AC377" i="1"/>
  <c r="AD377" i="1"/>
  <c r="AG377" i="1"/>
  <c r="AI377" i="1"/>
  <c r="AR376" i="1" s="1"/>
  <c r="AJ377" i="1"/>
  <c r="AN377" i="1"/>
  <c r="I377" i="1" s="1"/>
  <c r="AO377" i="1"/>
  <c r="AW377" i="1" s="1"/>
  <c r="AV377" i="1"/>
  <c r="BC377" i="1"/>
  <c r="BE377" i="1"/>
  <c r="BG377" i="1"/>
  <c r="AE377" i="1" s="1"/>
  <c r="BI377" i="1"/>
  <c r="I378" i="1"/>
  <c r="J378" i="1"/>
  <c r="K378" i="1"/>
  <c r="Y378" i="1"/>
  <c r="AA378" i="1"/>
  <c r="AB378" i="1"/>
  <c r="AC378" i="1"/>
  <c r="AD378" i="1"/>
  <c r="AF378" i="1"/>
  <c r="AG378" i="1"/>
  <c r="AI378" i="1"/>
  <c r="AJ378" i="1"/>
  <c r="AS376" i="1" s="1"/>
  <c r="AK378" i="1"/>
  <c r="AN378" i="1"/>
  <c r="AO378" i="1"/>
  <c r="AV378" i="1"/>
  <c r="BB378" i="1" s="1"/>
  <c r="AW378" i="1"/>
  <c r="BC378" i="1"/>
  <c r="BE378" i="1"/>
  <c r="BG378" i="1"/>
  <c r="AE378" i="1" s="1"/>
  <c r="BH378" i="1"/>
  <c r="BI378" i="1"/>
  <c r="I379" i="1"/>
  <c r="K379" i="1"/>
  <c r="Y379" i="1"/>
  <c r="AA379" i="1"/>
  <c r="AC379" i="1"/>
  <c r="AD379" i="1"/>
  <c r="AE379" i="1"/>
  <c r="AF379" i="1"/>
  <c r="AG379" i="1"/>
  <c r="AI379" i="1"/>
  <c r="AJ379" i="1"/>
  <c r="AK379" i="1"/>
  <c r="AN379" i="1"/>
  <c r="AO379" i="1"/>
  <c r="J379" i="1" s="1"/>
  <c r="AV379" i="1"/>
  <c r="BC379" i="1"/>
  <c r="BE379" i="1"/>
  <c r="BG379" i="1"/>
  <c r="BH379" i="1"/>
  <c r="AB379" i="1" s="1"/>
  <c r="BI379" i="1"/>
  <c r="K380" i="1"/>
  <c r="AK380" i="1" s="1"/>
  <c r="Y380" i="1"/>
  <c r="AA380" i="1"/>
  <c r="AB380" i="1"/>
  <c r="AC380" i="1"/>
  <c r="AD380" i="1"/>
  <c r="AG380" i="1"/>
  <c r="AI380" i="1"/>
  <c r="AJ380" i="1"/>
  <c r="AN380" i="1"/>
  <c r="I380" i="1" s="1"/>
  <c r="AO380" i="1"/>
  <c r="J380" i="1" s="1"/>
  <c r="AW380" i="1"/>
  <c r="BC380" i="1"/>
  <c r="BE380" i="1"/>
  <c r="BG380" i="1"/>
  <c r="AE380" i="1" s="1"/>
  <c r="BH380" i="1"/>
  <c r="AF380" i="1" s="1"/>
  <c r="BI380" i="1"/>
  <c r="J381" i="1"/>
  <c r="K381" i="1"/>
  <c r="Y381" i="1"/>
  <c r="AA381" i="1"/>
  <c r="AB381" i="1"/>
  <c r="AC381" i="1"/>
  <c r="AD381" i="1"/>
  <c r="AF381" i="1"/>
  <c r="AG381" i="1"/>
  <c r="AI381" i="1"/>
  <c r="AJ381" i="1"/>
  <c r="AK381" i="1"/>
  <c r="AN381" i="1"/>
  <c r="I381" i="1" s="1"/>
  <c r="AO381" i="1"/>
  <c r="AW381" i="1" s="1"/>
  <c r="AV381" i="1"/>
  <c r="BB381" i="1" s="1"/>
  <c r="BC381" i="1"/>
  <c r="BE381" i="1"/>
  <c r="BG381" i="1"/>
  <c r="AE381" i="1" s="1"/>
  <c r="BH381" i="1"/>
  <c r="BI381" i="1"/>
  <c r="I382" i="1"/>
  <c r="J382" i="1"/>
  <c r="K382" i="1"/>
  <c r="AK382" i="1" s="1"/>
  <c r="Y382" i="1"/>
  <c r="AA382" i="1"/>
  <c r="AB382" i="1"/>
  <c r="AC382" i="1"/>
  <c r="AD382" i="1"/>
  <c r="AE382" i="1"/>
  <c r="AF382" i="1"/>
  <c r="AG382" i="1"/>
  <c r="AI382" i="1"/>
  <c r="AJ382" i="1"/>
  <c r="AN382" i="1"/>
  <c r="AV382" i="1" s="1"/>
  <c r="AO382" i="1"/>
  <c r="AW382" i="1"/>
  <c r="BC382" i="1"/>
  <c r="BE382" i="1"/>
  <c r="BG382" i="1"/>
  <c r="BH382" i="1"/>
  <c r="BI382" i="1"/>
  <c r="I383" i="1"/>
  <c r="K383" i="1"/>
  <c r="Y383" i="1"/>
  <c r="AA383" i="1"/>
  <c r="AC383" i="1"/>
  <c r="AD383" i="1"/>
  <c r="AE383" i="1"/>
  <c r="AF383" i="1"/>
  <c r="AG383" i="1"/>
  <c r="AI383" i="1"/>
  <c r="AJ383" i="1"/>
  <c r="AK383" i="1"/>
  <c r="AN383" i="1"/>
  <c r="AO383" i="1"/>
  <c r="J383" i="1" s="1"/>
  <c r="AV383" i="1"/>
  <c r="BC383" i="1"/>
  <c r="BE383" i="1"/>
  <c r="BG383" i="1"/>
  <c r="BH383" i="1"/>
  <c r="AB383" i="1" s="1"/>
  <c r="BI383" i="1"/>
  <c r="K384" i="1"/>
  <c r="AK384" i="1" s="1"/>
  <c r="Y384" i="1"/>
  <c r="AA384" i="1"/>
  <c r="AB384" i="1"/>
  <c r="AC384" i="1"/>
  <c r="AD384" i="1"/>
  <c r="AG384" i="1"/>
  <c r="AI384" i="1"/>
  <c r="AJ384" i="1"/>
  <c r="AN384" i="1"/>
  <c r="I384" i="1" s="1"/>
  <c r="AO384" i="1"/>
  <c r="J384" i="1" s="1"/>
  <c r="AW384" i="1"/>
  <c r="BC384" i="1"/>
  <c r="BE384" i="1"/>
  <c r="BG384" i="1"/>
  <c r="AE384" i="1" s="1"/>
  <c r="BH384" i="1"/>
  <c r="AF384" i="1" s="1"/>
  <c r="BI384" i="1"/>
  <c r="J386" i="1"/>
  <c r="K386" i="1"/>
  <c r="Y386" i="1"/>
  <c r="AB386" i="1"/>
  <c r="AC386" i="1"/>
  <c r="AD386" i="1"/>
  <c r="AE386" i="1"/>
  <c r="AF386" i="1"/>
  <c r="AG386" i="1"/>
  <c r="AI386" i="1"/>
  <c r="AJ386" i="1"/>
  <c r="AK386" i="1"/>
  <c r="AN386" i="1"/>
  <c r="I386" i="1" s="1"/>
  <c r="AO386" i="1"/>
  <c r="AW386" i="1" s="1"/>
  <c r="AV386" i="1"/>
  <c r="BC386" i="1"/>
  <c r="BE386" i="1"/>
  <c r="BG386" i="1"/>
  <c r="AA386" i="1" s="1"/>
  <c r="BH386" i="1"/>
  <c r="BI386" i="1"/>
  <c r="I388" i="1"/>
  <c r="J388" i="1"/>
  <c r="K388" i="1"/>
  <c r="AK388" i="1" s="1"/>
  <c r="Y388" i="1"/>
  <c r="AA388" i="1"/>
  <c r="AB388" i="1"/>
  <c r="AC388" i="1"/>
  <c r="AD388" i="1"/>
  <c r="AE388" i="1"/>
  <c r="AF388" i="1"/>
  <c r="AG388" i="1"/>
  <c r="AI388" i="1"/>
  <c r="AJ388" i="1"/>
  <c r="AN388" i="1"/>
  <c r="AV388" i="1" s="1"/>
  <c r="AO388" i="1"/>
  <c r="AW388" i="1"/>
  <c r="BC388" i="1"/>
  <c r="BE388" i="1"/>
  <c r="BG388" i="1"/>
  <c r="BH388" i="1"/>
  <c r="BI388" i="1"/>
  <c r="I389" i="1"/>
  <c r="K389" i="1"/>
  <c r="Y389" i="1"/>
  <c r="AA389" i="1"/>
  <c r="AC389" i="1"/>
  <c r="AD389" i="1"/>
  <c r="AE389" i="1"/>
  <c r="AF389" i="1"/>
  <c r="AG389" i="1"/>
  <c r="AI389" i="1"/>
  <c r="AJ389" i="1"/>
  <c r="AK389" i="1"/>
  <c r="AN389" i="1"/>
  <c r="AO389" i="1"/>
  <c r="J389" i="1" s="1"/>
  <c r="AV389" i="1"/>
  <c r="BC389" i="1"/>
  <c r="BE389" i="1"/>
  <c r="BG389" i="1"/>
  <c r="BH389" i="1"/>
  <c r="AB389" i="1" s="1"/>
  <c r="BI389" i="1"/>
  <c r="K390" i="1"/>
  <c r="AK390" i="1" s="1"/>
  <c r="Y390" i="1"/>
  <c r="AC390" i="1"/>
  <c r="AD390" i="1"/>
  <c r="AE390" i="1"/>
  <c r="AF390" i="1"/>
  <c r="AG390" i="1"/>
  <c r="AI390" i="1"/>
  <c r="AJ390" i="1"/>
  <c r="AN390" i="1"/>
  <c r="I390" i="1" s="1"/>
  <c r="AO390" i="1"/>
  <c r="J390" i="1" s="1"/>
  <c r="AW390" i="1"/>
  <c r="BC390" i="1"/>
  <c r="BE390" i="1"/>
  <c r="BG390" i="1"/>
  <c r="AA390" i="1" s="1"/>
  <c r="BH390" i="1"/>
  <c r="AB390" i="1" s="1"/>
  <c r="BI390" i="1"/>
  <c r="J391" i="1"/>
  <c r="K391" i="1"/>
  <c r="Y391" i="1"/>
  <c r="AB391" i="1"/>
  <c r="AC391" i="1"/>
  <c r="AD391" i="1"/>
  <c r="AE391" i="1"/>
  <c r="AF391" i="1"/>
  <c r="AG391" i="1"/>
  <c r="AI391" i="1"/>
  <c r="AJ391" i="1"/>
  <c r="AK391" i="1"/>
  <c r="AN391" i="1"/>
  <c r="I391" i="1" s="1"/>
  <c r="AO391" i="1"/>
  <c r="AW391" i="1" s="1"/>
  <c r="AV391" i="1"/>
  <c r="BB391" i="1" s="1"/>
  <c r="BC391" i="1"/>
  <c r="BE391" i="1"/>
  <c r="BG391" i="1"/>
  <c r="AA391" i="1" s="1"/>
  <c r="BH391" i="1"/>
  <c r="BI391" i="1"/>
  <c r="K393" i="1"/>
  <c r="K392" i="1" s="1"/>
  <c r="F63" i="2" s="1"/>
  <c r="H63" i="2" s="1"/>
  <c r="Y393" i="1"/>
  <c r="AA393" i="1"/>
  <c r="AB393" i="1"/>
  <c r="AC393" i="1"/>
  <c r="AD393" i="1"/>
  <c r="AG393" i="1"/>
  <c r="AI393" i="1"/>
  <c r="AR392" i="1" s="1"/>
  <c r="AJ393" i="1"/>
  <c r="AN393" i="1"/>
  <c r="I393" i="1" s="1"/>
  <c r="AO393" i="1"/>
  <c r="J393" i="1" s="1"/>
  <c r="AW393" i="1"/>
  <c r="BC393" i="1"/>
  <c r="BE393" i="1"/>
  <c r="BG393" i="1"/>
  <c r="AE393" i="1" s="1"/>
  <c r="BH393" i="1"/>
  <c r="AF393" i="1" s="1"/>
  <c r="BI393" i="1"/>
  <c r="J395" i="1"/>
  <c r="K395" i="1"/>
  <c r="Y395" i="1"/>
  <c r="AA395" i="1"/>
  <c r="AB395" i="1"/>
  <c r="AC395" i="1"/>
  <c r="AD395" i="1"/>
  <c r="AF395" i="1"/>
  <c r="AG395" i="1"/>
  <c r="AI395" i="1"/>
  <c r="AJ395" i="1"/>
  <c r="AK395" i="1"/>
  <c r="AN395" i="1"/>
  <c r="I395" i="1" s="1"/>
  <c r="AO395" i="1"/>
  <c r="AW395" i="1" s="1"/>
  <c r="AV395" i="1"/>
  <c r="BB395" i="1" s="1"/>
  <c r="BC395" i="1"/>
  <c r="BE395" i="1"/>
  <c r="BG395" i="1"/>
  <c r="AE395" i="1" s="1"/>
  <c r="BH395" i="1"/>
  <c r="BI395" i="1"/>
  <c r="I397" i="1"/>
  <c r="J397" i="1"/>
  <c r="K397" i="1"/>
  <c r="AK397" i="1" s="1"/>
  <c r="Y397" i="1"/>
  <c r="AA397" i="1"/>
  <c r="AB397" i="1"/>
  <c r="AC397" i="1"/>
  <c r="AD397" i="1"/>
  <c r="AE397" i="1"/>
  <c r="AF397" i="1"/>
  <c r="AG397" i="1"/>
  <c r="AI397" i="1"/>
  <c r="AJ397" i="1"/>
  <c r="AS392" i="1" s="1"/>
  <c r="AN397" i="1"/>
  <c r="AV397" i="1" s="1"/>
  <c r="AO397" i="1"/>
  <c r="AW397" i="1"/>
  <c r="BC397" i="1"/>
  <c r="BE397" i="1"/>
  <c r="BG397" i="1"/>
  <c r="BH397" i="1"/>
  <c r="BI397" i="1"/>
  <c r="I398" i="1"/>
  <c r="K398" i="1"/>
  <c r="Y398" i="1"/>
  <c r="AA398" i="1"/>
  <c r="AB398" i="1"/>
  <c r="AC398" i="1"/>
  <c r="AD398" i="1"/>
  <c r="AE398" i="1"/>
  <c r="AG398" i="1"/>
  <c r="AI398" i="1"/>
  <c r="AJ398" i="1"/>
  <c r="AK398" i="1"/>
  <c r="AN398" i="1"/>
  <c r="AO398" i="1"/>
  <c r="J398" i="1" s="1"/>
  <c r="AV398" i="1"/>
  <c r="BC398" i="1"/>
  <c r="BE398" i="1"/>
  <c r="BG398" i="1"/>
  <c r="BH398" i="1"/>
  <c r="AF398" i="1" s="1"/>
  <c r="BI398" i="1"/>
  <c r="K399" i="1"/>
  <c r="AK399" i="1" s="1"/>
  <c r="Y399" i="1"/>
  <c r="AC399" i="1"/>
  <c r="AD399" i="1"/>
  <c r="AE399" i="1"/>
  <c r="AF399" i="1"/>
  <c r="AG399" i="1"/>
  <c r="AI399" i="1"/>
  <c r="AJ399" i="1"/>
  <c r="AN399" i="1"/>
  <c r="I399" i="1" s="1"/>
  <c r="AO399" i="1"/>
  <c r="J399" i="1" s="1"/>
  <c r="AW399" i="1"/>
  <c r="BC399" i="1"/>
  <c r="BE399" i="1"/>
  <c r="BG399" i="1"/>
  <c r="AA399" i="1" s="1"/>
  <c r="BH399" i="1"/>
  <c r="AB399" i="1" s="1"/>
  <c r="BI399" i="1"/>
  <c r="J400" i="1"/>
  <c r="K400" i="1"/>
  <c r="Y400" i="1"/>
  <c r="AB400" i="1"/>
  <c r="AC400" i="1"/>
  <c r="AD400" i="1"/>
  <c r="AE400" i="1"/>
  <c r="AF400" i="1"/>
  <c r="AG400" i="1"/>
  <c r="AI400" i="1"/>
  <c r="AJ400" i="1"/>
  <c r="AK400" i="1"/>
  <c r="AN400" i="1"/>
  <c r="I400" i="1" s="1"/>
  <c r="AO400" i="1"/>
  <c r="AW400" i="1" s="1"/>
  <c r="AV400" i="1"/>
  <c r="BB400" i="1" s="1"/>
  <c r="BC400" i="1"/>
  <c r="BE400" i="1"/>
  <c r="BG400" i="1"/>
  <c r="AA400" i="1" s="1"/>
  <c r="BH400" i="1"/>
  <c r="BI400" i="1"/>
  <c r="I401" i="1"/>
  <c r="J401" i="1"/>
  <c r="K401" i="1"/>
  <c r="AK401" i="1" s="1"/>
  <c r="Y401" i="1"/>
  <c r="AA401" i="1"/>
  <c r="AB401" i="1"/>
  <c r="AC401" i="1"/>
  <c r="AD401" i="1"/>
  <c r="AE401" i="1"/>
  <c r="AF401" i="1"/>
  <c r="AG401" i="1"/>
  <c r="AI401" i="1"/>
  <c r="AJ401" i="1"/>
  <c r="AN401" i="1"/>
  <c r="AV401" i="1" s="1"/>
  <c r="AO401" i="1"/>
  <c r="AW401" i="1"/>
  <c r="BC401" i="1"/>
  <c r="BE401" i="1"/>
  <c r="BG401" i="1"/>
  <c r="BH401" i="1"/>
  <c r="BI401" i="1"/>
  <c r="I402" i="1"/>
  <c r="K402" i="1"/>
  <c r="Y402" i="1"/>
  <c r="AA402" i="1"/>
  <c r="AB402" i="1"/>
  <c r="AC402" i="1"/>
  <c r="AD402" i="1"/>
  <c r="AE402" i="1"/>
  <c r="AG402" i="1"/>
  <c r="AI402" i="1"/>
  <c r="AJ402" i="1"/>
  <c r="AK402" i="1"/>
  <c r="AN402" i="1"/>
  <c r="AO402" i="1"/>
  <c r="J402" i="1" s="1"/>
  <c r="AV402" i="1"/>
  <c r="BC402" i="1"/>
  <c r="BE402" i="1"/>
  <c r="BG402" i="1"/>
  <c r="BH402" i="1"/>
  <c r="AF402" i="1" s="1"/>
  <c r="BI402" i="1"/>
  <c r="I404" i="1"/>
  <c r="J404" i="1"/>
  <c r="K404" i="1"/>
  <c r="AK404" i="1" s="1"/>
  <c r="Y404" i="1"/>
  <c r="AA404" i="1"/>
  <c r="AB404" i="1"/>
  <c r="AC404" i="1"/>
  <c r="AD404" i="1"/>
  <c r="AE404" i="1"/>
  <c r="AF404" i="1"/>
  <c r="AG404" i="1"/>
  <c r="AI404" i="1"/>
  <c r="AJ404" i="1"/>
  <c r="AS403" i="1" s="1"/>
  <c r="AN404" i="1"/>
  <c r="AV404" i="1" s="1"/>
  <c r="AO404" i="1"/>
  <c r="AW404" i="1"/>
  <c r="BC404" i="1"/>
  <c r="BE404" i="1"/>
  <c r="BG404" i="1"/>
  <c r="BH404" i="1"/>
  <c r="BI404" i="1"/>
  <c r="I405" i="1"/>
  <c r="K405" i="1"/>
  <c r="Y405" i="1"/>
  <c r="AA405" i="1"/>
  <c r="AB405" i="1"/>
  <c r="AC405" i="1"/>
  <c r="AD405" i="1"/>
  <c r="AE405" i="1"/>
  <c r="AG405" i="1"/>
  <c r="AI405" i="1"/>
  <c r="AR403" i="1" s="1"/>
  <c r="AJ405" i="1"/>
  <c r="AK405" i="1"/>
  <c r="AN405" i="1"/>
  <c r="AO405" i="1"/>
  <c r="J405" i="1" s="1"/>
  <c r="AV405" i="1"/>
  <c r="BC405" i="1"/>
  <c r="BE405" i="1"/>
  <c r="BG405" i="1"/>
  <c r="BH405" i="1"/>
  <c r="AF405" i="1" s="1"/>
  <c r="BI405" i="1"/>
  <c r="K406" i="1"/>
  <c r="AK406" i="1" s="1"/>
  <c r="Y406" i="1"/>
  <c r="AA406" i="1"/>
  <c r="AB406" i="1"/>
  <c r="AC406" i="1"/>
  <c r="AD406" i="1"/>
  <c r="AG406" i="1"/>
  <c r="AI406" i="1"/>
  <c r="AJ406" i="1"/>
  <c r="AN406" i="1"/>
  <c r="I406" i="1" s="1"/>
  <c r="AO406" i="1"/>
  <c r="J406" i="1" s="1"/>
  <c r="AW406" i="1"/>
  <c r="BC406" i="1"/>
  <c r="BE406" i="1"/>
  <c r="BH406" i="1"/>
  <c r="AF406" i="1" s="1"/>
  <c r="BI406" i="1"/>
  <c r="J407" i="1"/>
  <c r="K407" i="1"/>
  <c r="Y407" i="1"/>
  <c r="AA407" i="1"/>
  <c r="AB407" i="1"/>
  <c r="AC407" i="1"/>
  <c r="AD407" i="1"/>
  <c r="AF407" i="1"/>
  <c r="AG407" i="1"/>
  <c r="AI407" i="1"/>
  <c r="AJ407" i="1"/>
  <c r="AK407" i="1"/>
  <c r="AN407" i="1"/>
  <c r="I407" i="1" s="1"/>
  <c r="AO407" i="1"/>
  <c r="AW407" i="1" s="1"/>
  <c r="AV407" i="1"/>
  <c r="BB407" i="1" s="1"/>
  <c r="BC407" i="1"/>
  <c r="BE407" i="1"/>
  <c r="BG407" i="1"/>
  <c r="AE407" i="1" s="1"/>
  <c r="BH407" i="1"/>
  <c r="BI407" i="1"/>
  <c r="I408" i="1"/>
  <c r="J408" i="1"/>
  <c r="K408" i="1"/>
  <c r="AK408" i="1" s="1"/>
  <c r="Y408" i="1"/>
  <c r="AA408" i="1"/>
  <c r="AB408" i="1"/>
  <c r="AC408" i="1"/>
  <c r="AD408" i="1"/>
  <c r="AE408" i="1"/>
  <c r="AF408" i="1"/>
  <c r="AG408" i="1"/>
  <c r="AI408" i="1"/>
  <c r="AJ408" i="1"/>
  <c r="AN408" i="1"/>
  <c r="AV408" i="1" s="1"/>
  <c r="AO408" i="1"/>
  <c r="AW408" i="1"/>
  <c r="BC408" i="1"/>
  <c r="BE408" i="1"/>
  <c r="BG408" i="1"/>
  <c r="BH408" i="1"/>
  <c r="BI408" i="1"/>
  <c r="I409" i="1"/>
  <c r="K409" i="1"/>
  <c r="Y409" i="1"/>
  <c r="AA409" i="1"/>
  <c r="AB409" i="1"/>
  <c r="AC409" i="1"/>
  <c r="AD409" i="1"/>
  <c r="AE409" i="1"/>
  <c r="AG409" i="1"/>
  <c r="AI409" i="1"/>
  <c r="AJ409" i="1"/>
  <c r="AK409" i="1"/>
  <c r="AN409" i="1"/>
  <c r="AO409" i="1"/>
  <c r="J409" i="1" s="1"/>
  <c r="AV409" i="1"/>
  <c r="BC409" i="1"/>
  <c r="BE409" i="1"/>
  <c r="BG409" i="1"/>
  <c r="BI409" i="1"/>
  <c r="K410" i="1"/>
  <c r="AK410" i="1" s="1"/>
  <c r="Y410" i="1"/>
  <c r="AA410" i="1"/>
  <c r="AB410" i="1"/>
  <c r="AC410" i="1"/>
  <c r="AD410" i="1"/>
  <c r="AG410" i="1"/>
  <c r="AI410" i="1"/>
  <c r="AJ410" i="1"/>
  <c r="AN410" i="1"/>
  <c r="I410" i="1" s="1"/>
  <c r="AO410" i="1"/>
  <c r="J410" i="1" s="1"/>
  <c r="AW410" i="1"/>
  <c r="BC410" i="1"/>
  <c r="BE410" i="1"/>
  <c r="BG410" i="1"/>
  <c r="AE410" i="1" s="1"/>
  <c r="BH410" i="1"/>
  <c r="AF410" i="1" s="1"/>
  <c r="BI410" i="1"/>
  <c r="I412" i="1"/>
  <c r="I411" i="1" s="1"/>
  <c r="D65" i="2" s="1"/>
  <c r="K412" i="1"/>
  <c r="Y412" i="1"/>
  <c r="AA412" i="1"/>
  <c r="AB412" i="1"/>
  <c r="AC412" i="1"/>
  <c r="AD412" i="1"/>
  <c r="AE412" i="1"/>
  <c r="AF412" i="1"/>
  <c r="AG412" i="1"/>
  <c r="AI412" i="1"/>
  <c r="AR411" i="1" s="1"/>
  <c r="AJ412" i="1"/>
  <c r="AS411" i="1" s="1"/>
  <c r="AK412" i="1"/>
  <c r="AN412" i="1"/>
  <c r="AO412" i="1"/>
  <c r="J412" i="1" s="1"/>
  <c r="AV412" i="1"/>
  <c r="BC412" i="1"/>
  <c r="BE412" i="1"/>
  <c r="BG412" i="1"/>
  <c r="BI412" i="1"/>
  <c r="K413" i="1"/>
  <c r="K411" i="1" s="1"/>
  <c r="F65" i="2" s="1"/>
  <c r="H65" i="2" s="1"/>
  <c r="AA413" i="1"/>
  <c r="AB413" i="1"/>
  <c r="AC413" i="1"/>
  <c r="AD413" i="1"/>
  <c r="AE413" i="1"/>
  <c r="AF413" i="1"/>
  <c r="AG413" i="1"/>
  <c r="AI413" i="1"/>
  <c r="AJ413" i="1"/>
  <c r="AN413" i="1"/>
  <c r="I413" i="1" s="1"/>
  <c r="AO413" i="1"/>
  <c r="J413" i="1" s="1"/>
  <c r="AW413" i="1"/>
  <c r="BC413" i="1"/>
  <c r="BE413" i="1"/>
  <c r="BG413" i="1"/>
  <c r="BH413" i="1"/>
  <c r="BI413" i="1"/>
  <c r="Y413" i="1" s="1"/>
  <c r="B2" i="2"/>
  <c r="E2" i="2"/>
  <c r="B4" i="2"/>
  <c r="E4" i="2"/>
  <c r="B6" i="2"/>
  <c r="E6" i="2"/>
  <c r="B8" i="2"/>
  <c r="E8" i="2"/>
  <c r="D11" i="2"/>
  <c r="F11" i="2"/>
  <c r="H11" i="2" s="1"/>
  <c r="D12" i="2"/>
  <c r="E12" i="2"/>
  <c r="F12" i="2"/>
  <c r="H12" i="2" s="1"/>
  <c r="E13" i="2"/>
  <c r="F13" i="2"/>
  <c r="H13" i="2" s="1"/>
  <c r="D14" i="2"/>
  <c r="E14" i="2"/>
  <c r="F14" i="2"/>
  <c r="H14" i="2" s="1"/>
  <c r="E15" i="2"/>
  <c r="F16" i="2"/>
  <c r="H16" i="2" s="1"/>
  <c r="E19" i="2"/>
  <c r="D21" i="2"/>
  <c r="F21" i="2"/>
  <c r="H21" i="2" s="1"/>
  <c r="D22" i="2"/>
  <c r="F22" i="2"/>
  <c r="H22" i="2" s="1"/>
  <c r="F23" i="2"/>
  <c r="H23" i="2" s="1"/>
  <c r="E25" i="2"/>
  <c r="D32" i="2"/>
  <c r="E32" i="2"/>
  <c r="F32" i="2"/>
  <c r="H32" i="2" s="1"/>
  <c r="E33" i="2"/>
  <c r="F37" i="2"/>
  <c r="H37" i="2" s="1"/>
  <c r="D39" i="2"/>
  <c r="E39" i="2"/>
  <c r="F39" i="2"/>
  <c r="H39" i="2" s="1"/>
  <c r="E40" i="2"/>
  <c r="F40" i="2"/>
  <c r="H40" i="2" s="1"/>
  <c r="E41" i="2"/>
  <c r="F41" i="2"/>
  <c r="H41" i="2" s="1"/>
  <c r="F42" i="2"/>
  <c r="H42" i="2" s="1"/>
  <c r="F43" i="2"/>
  <c r="H43" i="2" s="1"/>
  <c r="D44" i="2"/>
  <c r="E44" i="2"/>
  <c r="F44" i="2"/>
  <c r="H44" i="2" s="1"/>
  <c r="E45" i="2"/>
  <c r="D46" i="2"/>
  <c r="E46" i="2"/>
  <c r="F46" i="2"/>
  <c r="H46" i="2" s="1"/>
  <c r="E47" i="2"/>
  <c r="F47" i="2"/>
  <c r="H47" i="2" s="1"/>
  <c r="E48" i="2"/>
  <c r="D50" i="2"/>
  <c r="F50" i="2"/>
  <c r="H50" i="2" s="1"/>
  <c r="D51" i="2"/>
  <c r="E51" i="2"/>
  <c r="F51" i="2"/>
  <c r="H51" i="2" s="1"/>
  <c r="D52" i="2"/>
  <c r="E52" i="2"/>
  <c r="F52" i="2"/>
  <c r="H52" i="2" s="1"/>
  <c r="E53" i="2"/>
  <c r="D54" i="2"/>
  <c r="E54" i="2"/>
  <c r="F54" i="2"/>
  <c r="H54" i="2" s="1"/>
  <c r="E55" i="2"/>
  <c r="F55" i="2"/>
  <c r="H55" i="2" s="1"/>
  <c r="E56" i="2"/>
  <c r="D58" i="2"/>
  <c r="F58" i="2"/>
  <c r="H58" i="2" s="1"/>
  <c r="E59" i="2"/>
  <c r="F60" i="2"/>
  <c r="H60" i="2" s="1"/>
  <c r="C2" i="5"/>
  <c r="F2" i="5"/>
  <c r="C4" i="5"/>
  <c r="F4" i="5"/>
  <c r="C6" i="5"/>
  <c r="F6" i="5"/>
  <c r="C8" i="5"/>
  <c r="F8" i="5"/>
  <c r="C10" i="5"/>
  <c r="F10" i="5"/>
  <c r="I10" i="5"/>
  <c r="I15" i="5"/>
  <c r="I16" i="5"/>
  <c r="I17" i="5"/>
  <c r="I18" i="5"/>
  <c r="I21" i="5"/>
  <c r="I22" i="5"/>
  <c r="I23" i="5"/>
  <c r="I24" i="5"/>
  <c r="I25" i="5"/>
  <c r="I26" i="5"/>
  <c r="I27" i="5"/>
  <c r="F29" i="5"/>
  <c r="I35" i="5"/>
  <c r="I36" i="5"/>
  <c r="B2" i="3"/>
  <c r="E2" i="3"/>
  <c r="B4" i="3"/>
  <c r="E4" i="3"/>
  <c r="B6" i="3"/>
  <c r="E6" i="3"/>
  <c r="B8" i="3"/>
  <c r="E8" i="3"/>
  <c r="AU404" i="1" l="1"/>
  <c r="BB404" i="1"/>
  <c r="J411" i="1"/>
  <c r="E65" i="2" s="1"/>
  <c r="I403" i="1"/>
  <c r="D64" i="2" s="1"/>
  <c r="BB401" i="1"/>
  <c r="AU401" i="1"/>
  <c r="BB386" i="1"/>
  <c r="I376" i="1"/>
  <c r="D62" i="2" s="1"/>
  <c r="BB377" i="1"/>
  <c r="BB388" i="1"/>
  <c r="AU388" i="1"/>
  <c r="AT403" i="1"/>
  <c r="BB397" i="1"/>
  <c r="AU397" i="1"/>
  <c r="J392" i="1"/>
  <c r="E63" i="2" s="1"/>
  <c r="BB408" i="1"/>
  <c r="AU408" i="1"/>
  <c r="J403" i="1"/>
  <c r="E64" i="2" s="1"/>
  <c r="I392" i="1"/>
  <c r="D63" i="2" s="1"/>
  <c r="BB382" i="1"/>
  <c r="AU382" i="1"/>
  <c r="BB365" i="1"/>
  <c r="AU365" i="1"/>
  <c r="K403" i="1"/>
  <c r="F64" i="2" s="1"/>
  <c r="H64" i="2" s="1"/>
  <c r="K376" i="1"/>
  <c r="F62" i="2" s="1"/>
  <c r="H62" i="2" s="1"/>
  <c r="K338" i="1"/>
  <c r="F61" i="2" s="1"/>
  <c r="H61" i="2" s="1"/>
  <c r="I335" i="1"/>
  <c r="AV335" i="1"/>
  <c r="AS331" i="1"/>
  <c r="I331" i="1"/>
  <c r="D60" i="2" s="1"/>
  <c r="BB329" i="1"/>
  <c r="AU329" i="1"/>
  <c r="AW326" i="1"/>
  <c r="J326" i="1"/>
  <c r="J325" i="1" s="1"/>
  <c r="E58" i="2" s="1"/>
  <c r="BH326" i="1"/>
  <c r="I322" i="1"/>
  <c r="I321" i="1" s="1"/>
  <c r="D56" i="2" s="1"/>
  <c r="AV322" i="1"/>
  <c r="BG322" i="1"/>
  <c r="I320" i="1"/>
  <c r="I319" i="1" s="1"/>
  <c r="D55" i="2" s="1"/>
  <c r="AV320" i="1"/>
  <c r="BG320" i="1"/>
  <c r="BB302" i="1"/>
  <c r="AU302" i="1"/>
  <c r="AV229" i="1"/>
  <c r="BG229" i="1"/>
  <c r="AC229" i="1" s="1"/>
  <c r="I229" i="1"/>
  <c r="BB185" i="1"/>
  <c r="AU185" i="1"/>
  <c r="BH412" i="1"/>
  <c r="BH409" i="1"/>
  <c r="AF409" i="1" s="1"/>
  <c r="BG406" i="1"/>
  <c r="AE406" i="1" s="1"/>
  <c r="AV413" i="1"/>
  <c r="AK413" i="1"/>
  <c r="AT411" i="1" s="1"/>
  <c r="AW412" i="1"/>
  <c r="BB412" i="1" s="1"/>
  <c r="AV410" i="1"/>
  <c r="AW409" i="1"/>
  <c r="BB409" i="1" s="1"/>
  <c r="AU407" i="1"/>
  <c r="AV406" i="1"/>
  <c r="AW405" i="1"/>
  <c r="BB405" i="1" s="1"/>
  <c r="AW402" i="1"/>
  <c r="BB402" i="1" s="1"/>
  <c r="AU400" i="1"/>
  <c r="AV399" i="1"/>
  <c r="AW398" i="1"/>
  <c r="BB398" i="1" s="1"/>
  <c r="AU395" i="1"/>
  <c r="AV393" i="1"/>
  <c r="AK393" i="1"/>
  <c r="AT392" i="1" s="1"/>
  <c r="AU391" i="1"/>
  <c r="AV390" i="1"/>
  <c r="AW389" i="1"/>
  <c r="BB389" i="1" s="1"/>
  <c r="AU386" i="1"/>
  <c r="AV384" i="1"/>
  <c r="AW383" i="1"/>
  <c r="BB383" i="1" s="1"/>
  <c r="AU381" i="1"/>
  <c r="AV380" i="1"/>
  <c r="AW379" i="1"/>
  <c r="BB379" i="1" s="1"/>
  <c r="BH377" i="1"/>
  <c r="AF377" i="1" s="1"/>
  <c r="J377" i="1"/>
  <c r="J376" i="1" s="1"/>
  <c r="E62" i="2" s="1"/>
  <c r="BG375" i="1"/>
  <c r="AE375" i="1" s="1"/>
  <c r="AV375" i="1"/>
  <c r="BG374" i="1"/>
  <c r="AA374" i="1" s="1"/>
  <c r="I373" i="1"/>
  <c r="AU372" i="1"/>
  <c r="AU371" i="1"/>
  <c r="AV370" i="1"/>
  <c r="BH368" i="1"/>
  <c r="AB368" i="1" s="1"/>
  <c r="BG363" i="1"/>
  <c r="AE363" i="1" s="1"/>
  <c r="AW363" i="1"/>
  <c r="BB363" i="1" s="1"/>
  <c r="BH362" i="1"/>
  <c r="AF362" i="1" s="1"/>
  <c r="BB362" i="1"/>
  <c r="BH360" i="1"/>
  <c r="AF360" i="1" s="1"/>
  <c r="J360" i="1"/>
  <c r="J357" i="1"/>
  <c r="BG356" i="1"/>
  <c r="AE356" i="1" s="1"/>
  <c r="AV356" i="1"/>
  <c r="BG355" i="1"/>
  <c r="AE355" i="1" s="1"/>
  <c r="BB354" i="1"/>
  <c r="I352" i="1"/>
  <c r="BG350" i="1"/>
  <c r="AE350" i="1" s="1"/>
  <c r="I346" i="1"/>
  <c r="I338" i="1" s="1"/>
  <c r="D61" i="2" s="1"/>
  <c r="AV346" i="1"/>
  <c r="AU345" i="1"/>
  <c r="I342" i="1"/>
  <c r="AV342" i="1"/>
  <c r="AS338" i="1"/>
  <c r="AU337" i="1"/>
  <c r="J334" i="1"/>
  <c r="J331" i="1" s="1"/>
  <c r="E60" i="2" s="1"/>
  <c r="AW334" i="1"/>
  <c r="BB334" i="1" s="1"/>
  <c r="AU333" i="1"/>
  <c r="AT331" i="1"/>
  <c r="K327" i="1"/>
  <c r="F59" i="2" s="1"/>
  <c r="H59" i="2" s="1"/>
  <c r="AK328" i="1"/>
  <c r="AT327" i="1" s="1"/>
  <c r="J324" i="1"/>
  <c r="J323" i="1" s="1"/>
  <c r="E57" i="2" s="1"/>
  <c r="AW324" i="1"/>
  <c r="BH324" i="1"/>
  <c r="K323" i="1"/>
  <c r="F57" i="2" s="1"/>
  <c r="H57" i="2" s="1"/>
  <c r="AU316" i="1"/>
  <c r="K305" i="1"/>
  <c r="F48" i="2" s="1"/>
  <c r="H48" i="2" s="1"/>
  <c r="AK306" i="1"/>
  <c r="AT305" i="1" s="1"/>
  <c r="AU298" i="1"/>
  <c r="BB298" i="1"/>
  <c r="AU296" i="1"/>
  <c r="AK377" i="1"/>
  <c r="AT376" i="1" s="1"/>
  <c r="AV374" i="1"/>
  <c r="AW368" i="1"/>
  <c r="BB364" i="1"/>
  <c r="J362" i="1"/>
  <c r="AV355" i="1"/>
  <c r="BH353" i="1"/>
  <c r="AF353" i="1" s="1"/>
  <c r="J353" i="1"/>
  <c r="BG352" i="1"/>
  <c r="AE352" i="1" s="1"/>
  <c r="AU352" i="1"/>
  <c r="J349" i="1"/>
  <c r="AW349" i="1"/>
  <c r="BB349" i="1" s="1"/>
  <c r="AU348" i="1"/>
  <c r="J345" i="1"/>
  <c r="AW345" i="1"/>
  <c r="BB345" i="1" s="1"/>
  <c r="AU344" i="1"/>
  <c r="J341" i="1"/>
  <c r="J338" i="1" s="1"/>
  <c r="E61" i="2" s="1"/>
  <c r="AW341" i="1"/>
  <c r="BB341" i="1" s="1"/>
  <c r="AU340" i="1"/>
  <c r="AT338" i="1"/>
  <c r="BB336" i="1"/>
  <c r="AU336" i="1"/>
  <c r="BB332" i="1"/>
  <c r="AU332" i="1"/>
  <c r="BB318" i="1"/>
  <c r="AU318" i="1"/>
  <c r="AW310" i="1"/>
  <c r="AU310" i="1" s="1"/>
  <c r="J310" i="1"/>
  <c r="J309" i="1" s="1"/>
  <c r="E50" i="2" s="1"/>
  <c r="BH310" i="1"/>
  <c r="I306" i="1"/>
  <c r="I305" i="1" s="1"/>
  <c r="D48" i="2" s="1"/>
  <c r="AV306" i="1"/>
  <c r="BG306" i="1"/>
  <c r="I304" i="1"/>
  <c r="I303" i="1" s="1"/>
  <c r="D47" i="2" s="1"/>
  <c r="AV304" i="1"/>
  <c r="BG304" i="1"/>
  <c r="AU295" i="1"/>
  <c r="BB295" i="1"/>
  <c r="AU240" i="1"/>
  <c r="BB240" i="1"/>
  <c r="AU378" i="1"/>
  <c r="AU377" i="1"/>
  <c r="BG373" i="1"/>
  <c r="AE373" i="1" s="1"/>
  <c r="BH372" i="1"/>
  <c r="AB372" i="1" s="1"/>
  <c r="BH370" i="1"/>
  <c r="AB370" i="1" s="1"/>
  <c r="BG365" i="1"/>
  <c r="AE365" i="1" s="1"/>
  <c r="BG364" i="1"/>
  <c r="AE364" i="1" s="1"/>
  <c r="I363" i="1"/>
  <c r="AU361" i="1"/>
  <c r="AU360" i="1"/>
  <c r="BH359" i="1"/>
  <c r="AF359" i="1" s="1"/>
  <c r="AU353" i="1"/>
  <c r="BB351" i="1"/>
  <c r="BB350" i="1"/>
  <c r="BB347" i="1"/>
  <c r="AU347" i="1"/>
  <c r="BB343" i="1"/>
  <c r="AU343" i="1"/>
  <c r="BB339" i="1"/>
  <c r="AU339" i="1"/>
  <c r="BG335" i="1"/>
  <c r="AA335" i="1" s="1"/>
  <c r="I328" i="1"/>
  <c r="I327" i="1" s="1"/>
  <c r="D59" i="2" s="1"/>
  <c r="AV328" i="1"/>
  <c r="AU326" i="1"/>
  <c r="K321" i="1"/>
  <c r="F56" i="2" s="1"/>
  <c r="H56" i="2" s="1"/>
  <c r="AK322" i="1"/>
  <c r="AT321" i="1" s="1"/>
  <c r="AU314" i="1"/>
  <c r="BB314" i="1"/>
  <c r="J308" i="1"/>
  <c r="J307" i="1" s="1"/>
  <c r="E49" i="2" s="1"/>
  <c r="AW308" i="1"/>
  <c r="BH308" i="1"/>
  <c r="K307" i="1"/>
  <c r="F49" i="2" s="1"/>
  <c r="H49" i="2" s="1"/>
  <c r="AK226" i="1"/>
  <c r="AT225" i="1" s="1"/>
  <c r="K225" i="1"/>
  <c r="F34" i="2" s="1"/>
  <c r="H34" i="2" s="1"/>
  <c r="BB217" i="1"/>
  <c r="AU217" i="1"/>
  <c r="J215" i="1"/>
  <c r="AW215" i="1"/>
  <c r="BH215" i="1"/>
  <c r="AD215" i="1" s="1"/>
  <c r="BB326" i="1"/>
  <c r="I324" i="1"/>
  <c r="I323" i="1" s="1"/>
  <c r="D57" i="2" s="1"/>
  <c r="AW322" i="1"/>
  <c r="BB310" i="1"/>
  <c r="I308" i="1"/>
  <c r="I307" i="1" s="1"/>
  <c r="D49" i="2" s="1"/>
  <c r="AW306" i="1"/>
  <c r="AW294" i="1"/>
  <c r="J293" i="1"/>
  <c r="AW293" i="1"/>
  <c r="AT291" i="1"/>
  <c r="J291" i="1"/>
  <c r="E43" i="2" s="1"/>
  <c r="J290" i="1"/>
  <c r="AW290" i="1"/>
  <c r="BB288" i="1"/>
  <c r="AU288" i="1"/>
  <c r="I284" i="1"/>
  <c r="D41" i="2" s="1"/>
  <c r="I281" i="1"/>
  <c r="D40" i="2" s="1"/>
  <c r="I274" i="1"/>
  <c r="I270" i="1" s="1"/>
  <c r="D38" i="2" s="1"/>
  <c r="AV274" i="1"/>
  <c r="AT270" i="1"/>
  <c r="J266" i="1"/>
  <c r="J263" i="1" s="1"/>
  <c r="E37" i="2" s="1"/>
  <c r="AW266" i="1"/>
  <c r="J255" i="1"/>
  <c r="AW255" i="1"/>
  <c r="AT252" i="1"/>
  <c r="K252" i="1"/>
  <c r="F36" i="2" s="1"/>
  <c r="H36" i="2" s="1"/>
  <c r="J251" i="1"/>
  <c r="AW251" i="1"/>
  <c r="J231" i="1"/>
  <c r="AW231" i="1"/>
  <c r="BB231" i="1" s="1"/>
  <c r="BH231" i="1"/>
  <c r="AD231" i="1" s="1"/>
  <c r="AS227" i="1"/>
  <c r="J226" i="1"/>
  <c r="J225" i="1" s="1"/>
  <c r="E34" i="2" s="1"/>
  <c r="AW226" i="1"/>
  <c r="BH226" i="1"/>
  <c r="AD226" i="1" s="1"/>
  <c r="I224" i="1"/>
  <c r="AV224" i="1"/>
  <c r="BG224" i="1"/>
  <c r="AC224" i="1" s="1"/>
  <c r="I216" i="1"/>
  <c r="AV216" i="1"/>
  <c r="BG216" i="1"/>
  <c r="AC216" i="1" s="1"/>
  <c r="K315" i="1"/>
  <c r="F53" i="2" s="1"/>
  <c r="H53" i="2" s="1"/>
  <c r="K299" i="1"/>
  <c r="F45" i="2" s="1"/>
  <c r="H45" i="2" s="1"/>
  <c r="AS291" i="1"/>
  <c r="AS287" i="1"/>
  <c r="BB278" i="1"/>
  <c r="AU278" i="1"/>
  <c r="J273" i="1"/>
  <c r="J270" i="1" s="1"/>
  <c r="E38" i="2" s="1"/>
  <c r="AW273" i="1"/>
  <c r="BB271" i="1"/>
  <c r="AU271" i="1"/>
  <c r="BB268" i="1"/>
  <c r="AU268" i="1"/>
  <c r="BB259" i="1"/>
  <c r="AU259" i="1"/>
  <c r="J238" i="1"/>
  <c r="AW238" i="1"/>
  <c r="BH238" i="1"/>
  <c r="AD238" i="1" s="1"/>
  <c r="AR227" i="1"/>
  <c r="BB219" i="1"/>
  <c r="AU219" i="1"/>
  <c r="BH318" i="1"/>
  <c r="BH316" i="1"/>
  <c r="I316" i="1"/>
  <c r="I315" i="1" s="1"/>
  <c r="D53" i="2" s="1"/>
  <c r="BG314" i="1"/>
  <c r="AK314" i="1"/>
  <c r="AT313" i="1" s="1"/>
  <c r="BG312" i="1"/>
  <c r="AV312" i="1"/>
  <c r="BH302" i="1"/>
  <c r="BH300" i="1"/>
  <c r="I300" i="1"/>
  <c r="I299" i="1" s="1"/>
  <c r="D45" i="2" s="1"/>
  <c r="BG298" i="1"/>
  <c r="AK298" i="1"/>
  <c r="AT297" i="1" s="1"/>
  <c r="BG296" i="1"/>
  <c r="AA296" i="1" s="1"/>
  <c r="BG295" i="1"/>
  <c r="AA295" i="1" s="1"/>
  <c r="I294" i="1"/>
  <c r="I291" i="1" s="1"/>
  <c r="D43" i="2" s="1"/>
  <c r="AV294" i="1"/>
  <c r="I287" i="1"/>
  <c r="D42" i="2" s="1"/>
  <c r="J287" i="1"/>
  <c r="E42" i="2" s="1"/>
  <c r="BB285" i="1"/>
  <c r="AU285" i="1"/>
  <c r="BB282" i="1"/>
  <c r="AU282" i="1"/>
  <c r="BB275" i="1"/>
  <c r="AU275" i="1"/>
  <c r="AS270" i="1"/>
  <c r="K270" i="1"/>
  <c r="F38" i="2" s="1"/>
  <c r="H38" i="2" s="1"/>
  <c r="I267" i="1"/>
  <c r="I263" i="1" s="1"/>
  <c r="D37" i="2" s="1"/>
  <c r="AV267" i="1"/>
  <c r="BB264" i="1"/>
  <c r="AU264" i="1"/>
  <c r="I257" i="1"/>
  <c r="I252" i="1" s="1"/>
  <c r="D36" i="2" s="1"/>
  <c r="AV257" i="1"/>
  <c r="J252" i="1"/>
  <c r="E36" i="2" s="1"/>
  <c r="BB249" i="1"/>
  <c r="AU249" i="1"/>
  <c r="BB242" i="1"/>
  <c r="AU242" i="1"/>
  <c r="BB234" i="1"/>
  <c r="AU234" i="1"/>
  <c r="J227" i="1"/>
  <c r="E35" i="2" s="1"/>
  <c r="I238" i="1"/>
  <c r="AW229" i="1"/>
  <c r="I226" i="1"/>
  <c r="I225" i="1" s="1"/>
  <c r="D34" i="2" s="1"/>
  <c r="AW224" i="1"/>
  <c r="K221" i="1"/>
  <c r="F33" i="2" s="1"/>
  <c r="H33" i="2" s="1"/>
  <c r="AK222" i="1"/>
  <c r="AT221" i="1" s="1"/>
  <c r="I215" i="1"/>
  <c r="AV215" i="1"/>
  <c r="J214" i="1"/>
  <c r="AW214" i="1"/>
  <c r="AU213" i="1"/>
  <c r="BB213" i="1"/>
  <c r="AW211" i="1"/>
  <c r="J211" i="1"/>
  <c r="AV208" i="1"/>
  <c r="I208" i="1"/>
  <c r="BB204" i="1"/>
  <c r="AU204" i="1"/>
  <c r="BB196" i="1"/>
  <c r="AU196" i="1"/>
  <c r="AT189" i="1"/>
  <c r="BB178" i="1"/>
  <c r="AU178" i="1"/>
  <c r="AT158" i="1"/>
  <c r="I248" i="1"/>
  <c r="K227" i="1"/>
  <c r="F35" i="2" s="1"/>
  <c r="H35" i="2" s="1"/>
  <c r="I222" i="1"/>
  <c r="I221" i="1" s="1"/>
  <c r="D33" i="2" s="1"/>
  <c r="AV222" i="1"/>
  <c r="BB181" i="1"/>
  <c r="AU181" i="1"/>
  <c r="AU231" i="1"/>
  <c r="I227" i="1"/>
  <c r="D35" i="2" s="1"/>
  <c r="AV212" i="1"/>
  <c r="I212" i="1"/>
  <c r="AU209" i="1"/>
  <c r="BB209" i="1"/>
  <c r="BB200" i="1"/>
  <c r="AU200" i="1"/>
  <c r="BB192" i="1"/>
  <c r="AU192" i="1"/>
  <c r="AS189" i="1"/>
  <c r="AT180" i="1"/>
  <c r="AV211" i="1"/>
  <c r="AW210" i="1"/>
  <c r="AV207" i="1"/>
  <c r="J207" i="1"/>
  <c r="AW206" i="1"/>
  <c r="BB205" i="1"/>
  <c r="I204" i="1"/>
  <c r="AV203" i="1"/>
  <c r="J203" i="1"/>
  <c r="AW202" i="1"/>
  <c r="BB201" i="1"/>
  <c r="I200" i="1"/>
  <c r="AV199" i="1"/>
  <c r="J199" i="1"/>
  <c r="AW198" i="1"/>
  <c r="BB197" i="1"/>
  <c r="I196" i="1"/>
  <c r="AV195" i="1"/>
  <c r="J195" i="1"/>
  <c r="AW194" i="1"/>
  <c r="BB193" i="1"/>
  <c r="I192" i="1"/>
  <c r="I189" i="1" s="1"/>
  <c r="D31" i="2" s="1"/>
  <c r="AV191" i="1"/>
  <c r="J191" i="1"/>
  <c r="J189" i="1" s="1"/>
  <c r="E31" i="2" s="1"/>
  <c r="AW190" i="1"/>
  <c r="AV188" i="1"/>
  <c r="J188" i="1"/>
  <c r="AW187" i="1"/>
  <c r="BB186" i="1"/>
  <c r="I185" i="1"/>
  <c r="AV184" i="1"/>
  <c r="J184" i="1"/>
  <c r="J180" i="1" s="1"/>
  <c r="E30" i="2" s="1"/>
  <c r="AW183" i="1"/>
  <c r="BB182" i="1"/>
  <c r="I181" i="1"/>
  <c r="I180" i="1" s="1"/>
  <c r="D30" i="2" s="1"/>
  <c r="K180" i="1"/>
  <c r="F30" i="2" s="1"/>
  <c r="H30" i="2" s="1"/>
  <c r="BB179" i="1"/>
  <c r="I178" i="1"/>
  <c r="AV177" i="1"/>
  <c r="J177" i="1"/>
  <c r="AW176" i="1"/>
  <c r="BB175" i="1"/>
  <c r="BG171" i="1"/>
  <c r="AC171" i="1" s="1"/>
  <c r="AW171" i="1"/>
  <c r="J171" i="1"/>
  <c r="BH169" i="1"/>
  <c r="AD169" i="1" s="1"/>
  <c r="J169" i="1"/>
  <c r="J158" i="1" s="1"/>
  <c r="E29" i="2" s="1"/>
  <c r="BG167" i="1"/>
  <c r="AC167" i="1" s="1"/>
  <c r="AV167" i="1"/>
  <c r="AV166" i="1"/>
  <c r="BH160" i="1"/>
  <c r="AD160" i="1" s="1"/>
  <c r="I160" i="1"/>
  <c r="I158" i="1" s="1"/>
  <c r="D29" i="2" s="1"/>
  <c r="AS158" i="1"/>
  <c r="BG154" i="1"/>
  <c r="AC154" i="1" s="1"/>
  <c r="AV154" i="1"/>
  <c r="BH153" i="1"/>
  <c r="AD153" i="1" s="1"/>
  <c r="AU151" i="1"/>
  <c r="I149" i="1"/>
  <c r="AV149" i="1"/>
  <c r="BB142" i="1"/>
  <c r="AU142" i="1"/>
  <c r="BB133" i="1"/>
  <c r="AU133" i="1"/>
  <c r="AS129" i="1"/>
  <c r="BB121" i="1"/>
  <c r="AU121" i="1"/>
  <c r="BB174" i="1"/>
  <c r="AV171" i="1"/>
  <c r="I165" i="1"/>
  <c r="AU163" i="1"/>
  <c r="I157" i="1"/>
  <c r="AW153" i="1"/>
  <c r="BB150" i="1"/>
  <c r="AU150" i="1"/>
  <c r="AT113" i="1"/>
  <c r="J104" i="1"/>
  <c r="E26" i="2" s="1"/>
  <c r="K189" i="1"/>
  <c r="F31" i="2" s="1"/>
  <c r="H31" i="2" s="1"/>
  <c r="I170" i="1"/>
  <c r="K158" i="1"/>
  <c r="F29" i="2" s="1"/>
  <c r="H29" i="2" s="1"/>
  <c r="J156" i="1"/>
  <c r="AW156" i="1"/>
  <c r="BB146" i="1"/>
  <c r="AU146" i="1"/>
  <c r="BB138" i="1"/>
  <c r="AU138" i="1"/>
  <c r="K129" i="1"/>
  <c r="F28" i="2" s="1"/>
  <c r="H28" i="2" s="1"/>
  <c r="BB125" i="1"/>
  <c r="AU125" i="1"/>
  <c r="BB117" i="1"/>
  <c r="AU117" i="1"/>
  <c r="BG170" i="1"/>
  <c r="AC170" i="1" s="1"/>
  <c r="BG166" i="1"/>
  <c r="AC166" i="1" s="1"/>
  <c r="AW166" i="1"/>
  <c r="BH163" i="1"/>
  <c r="AD163" i="1" s="1"/>
  <c r="J163" i="1"/>
  <c r="BG162" i="1"/>
  <c r="AC162" i="1" s="1"/>
  <c r="AV162" i="1"/>
  <c r="AV161" i="1"/>
  <c r="BH156" i="1"/>
  <c r="AD156" i="1" s="1"/>
  <c r="AU155" i="1"/>
  <c r="I153" i="1"/>
  <c r="AV153" i="1"/>
  <c r="J152" i="1"/>
  <c r="AW152" i="1"/>
  <c r="AR129" i="1"/>
  <c r="J113" i="1"/>
  <c r="E27" i="2" s="1"/>
  <c r="AU99" i="1"/>
  <c r="AW148" i="1"/>
  <c r="BB147" i="1"/>
  <c r="I146" i="1"/>
  <c r="AV145" i="1"/>
  <c r="J145" i="1"/>
  <c r="AW144" i="1"/>
  <c r="BB143" i="1"/>
  <c r="I142" i="1"/>
  <c r="AV141" i="1"/>
  <c r="J141" i="1"/>
  <c r="AW140" i="1"/>
  <c r="BB139" i="1"/>
  <c r="I138" i="1"/>
  <c r="AV137" i="1"/>
  <c r="J137" i="1"/>
  <c r="AW135" i="1"/>
  <c r="BB134" i="1"/>
  <c r="I133" i="1"/>
  <c r="I129" i="1" s="1"/>
  <c r="D28" i="2" s="1"/>
  <c r="AV132" i="1"/>
  <c r="AK132" i="1"/>
  <c r="AT129" i="1" s="1"/>
  <c r="J132" i="1"/>
  <c r="J129" i="1" s="1"/>
  <c r="E28" i="2" s="1"/>
  <c r="AW131" i="1"/>
  <c r="BB130" i="1"/>
  <c r="AW127" i="1"/>
  <c r="BB126" i="1"/>
  <c r="I125" i="1"/>
  <c r="AV124" i="1"/>
  <c r="J124" i="1"/>
  <c r="AW123" i="1"/>
  <c r="BB122" i="1"/>
  <c r="I121" i="1"/>
  <c r="AV120" i="1"/>
  <c r="J120" i="1"/>
  <c r="AW119" i="1"/>
  <c r="BB118" i="1"/>
  <c r="I117" i="1"/>
  <c r="I113" i="1" s="1"/>
  <c r="D27" i="2" s="1"/>
  <c r="AV116" i="1"/>
  <c r="J116" i="1"/>
  <c r="AW115" i="1"/>
  <c r="BB114" i="1"/>
  <c r="BH110" i="1"/>
  <c r="AD110" i="1" s="1"/>
  <c r="I110" i="1"/>
  <c r="BH107" i="1"/>
  <c r="AD107" i="1" s="1"/>
  <c r="C17" i="4" s="1"/>
  <c r="BG106" i="1"/>
  <c r="AC106" i="1" s="1"/>
  <c r="AW106" i="1"/>
  <c r="BB106" i="1" s="1"/>
  <c r="BH103" i="1"/>
  <c r="AD103" i="1" s="1"/>
  <c r="I103" i="1"/>
  <c r="BH100" i="1"/>
  <c r="AD100" i="1" s="1"/>
  <c r="BG99" i="1"/>
  <c r="AC99" i="1" s="1"/>
  <c r="AW99" i="1"/>
  <c r="BB99" i="1" s="1"/>
  <c r="AV96" i="1"/>
  <c r="I96" i="1"/>
  <c r="AW92" i="1"/>
  <c r="BB92" i="1" s="1"/>
  <c r="J92" i="1"/>
  <c r="AU90" i="1"/>
  <c r="BB90" i="1"/>
  <c r="J88" i="1"/>
  <c r="E24" i="2" s="1"/>
  <c r="BB84" i="1"/>
  <c r="K113" i="1"/>
  <c r="F27" i="2" s="1"/>
  <c r="H27" i="2" s="1"/>
  <c r="AW110" i="1"/>
  <c r="AW107" i="1"/>
  <c r="BB107" i="1" s="1"/>
  <c r="BB105" i="1"/>
  <c r="K104" i="1"/>
  <c r="F26" i="2" s="1"/>
  <c r="H26" i="2" s="1"/>
  <c r="AW103" i="1"/>
  <c r="AW100" i="1"/>
  <c r="BB100" i="1" s="1"/>
  <c r="BB98" i="1"/>
  <c r="BG97" i="1"/>
  <c r="AC97" i="1" s="1"/>
  <c r="AV97" i="1"/>
  <c r="AV93" i="1"/>
  <c r="I93" i="1"/>
  <c r="BB89" i="1"/>
  <c r="AU89" i="1"/>
  <c r="BB82" i="1"/>
  <c r="AU82" i="1"/>
  <c r="BB81" i="1"/>
  <c r="AU81" i="1"/>
  <c r="AU107" i="1"/>
  <c r="AR95" i="1"/>
  <c r="AU94" i="1"/>
  <c r="BB94" i="1"/>
  <c r="AT88" i="1"/>
  <c r="BG112" i="1"/>
  <c r="AC112" i="1" s="1"/>
  <c r="AV112" i="1"/>
  <c r="AU111" i="1"/>
  <c r="AU108" i="1"/>
  <c r="BH106" i="1"/>
  <c r="AD106" i="1" s="1"/>
  <c r="I106" i="1"/>
  <c r="I104" i="1" s="1"/>
  <c r="D26" i="2" s="1"/>
  <c r="AS104" i="1"/>
  <c r="AU101" i="1"/>
  <c r="BH99" i="1"/>
  <c r="AD99" i="1" s="1"/>
  <c r="I99" i="1"/>
  <c r="AK96" i="1"/>
  <c r="AT95" i="1" s="1"/>
  <c r="K95" i="1"/>
  <c r="F25" i="2" s="1"/>
  <c r="H25" i="2" s="1"/>
  <c r="BG93" i="1"/>
  <c r="AC93" i="1" s="1"/>
  <c r="AR88" i="1"/>
  <c r="BB86" i="1"/>
  <c r="AU86" i="1"/>
  <c r="BB85" i="1"/>
  <c r="AU85" i="1"/>
  <c r="I89" i="1"/>
  <c r="I88" i="1" s="1"/>
  <c r="D24" i="2" s="1"/>
  <c r="K88" i="1"/>
  <c r="F24" i="2" s="1"/>
  <c r="H24" i="2" s="1"/>
  <c r="BB87" i="1"/>
  <c r="I86" i="1"/>
  <c r="I80" i="1" s="1"/>
  <c r="D23" i="2" s="1"/>
  <c r="J85" i="1"/>
  <c r="BB83" i="1"/>
  <c r="I82" i="1"/>
  <c r="AK81" i="1"/>
  <c r="AT80" i="1" s="1"/>
  <c r="J81" i="1"/>
  <c r="J80" i="1" s="1"/>
  <c r="E23" i="2" s="1"/>
  <c r="J78" i="1"/>
  <c r="J77" i="1" s="1"/>
  <c r="E22" i="2" s="1"/>
  <c r="J76" i="1"/>
  <c r="J75" i="1" s="1"/>
  <c r="E21" i="2" s="1"/>
  <c r="AW76" i="1"/>
  <c r="BB76" i="1" s="1"/>
  <c r="AU71" i="1"/>
  <c r="BB71" i="1"/>
  <c r="BB69" i="1"/>
  <c r="AU69" i="1"/>
  <c r="AU57" i="1"/>
  <c r="BB54" i="1"/>
  <c r="AU54" i="1"/>
  <c r="AU48" i="1"/>
  <c r="BB43" i="1"/>
  <c r="AU43" i="1"/>
  <c r="C28" i="4"/>
  <c r="F28" i="4" s="1"/>
  <c r="C18" i="4"/>
  <c r="AU78" i="1"/>
  <c r="AW74" i="1"/>
  <c r="J74" i="1"/>
  <c r="AU66" i="1"/>
  <c r="BB64" i="1"/>
  <c r="AU64" i="1"/>
  <c r="BB50" i="1"/>
  <c r="AU50" i="1"/>
  <c r="BB45" i="1"/>
  <c r="AU45" i="1"/>
  <c r="I18" i="1"/>
  <c r="D13" i="2" s="1"/>
  <c r="BB15" i="1"/>
  <c r="C21" i="4"/>
  <c r="C27" i="4"/>
  <c r="AT68" i="1"/>
  <c r="AT49" i="1"/>
  <c r="BB47" i="1"/>
  <c r="AU47" i="1"/>
  <c r="BB39" i="1"/>
  <c r="AU39" i="1"/>
  <c r="AU32" i="1"/>
  <c r="I26" i="1"/>
  <c r="D15" i="2" s="1"/>
  <c r="C14" i="4"/>
  <c r="C20" i="4"/>
  <c r="C16" i="4"/>
  <c r="BH78" i="1"/>
  <c r="AB78" i="1" s="1"/>
  <c r="C15" i="4" s="1"/>
  <c r="BB72" i="1"/>
  <c r="J68" i="1"/>
  <c r="E20" i="2" s="1"/>
  <c r="BB59" i="1"/>
  <c r="AU59" i="1"/>
  <c r="BB35" i="1"/>
  <c r="AU35" i="1"/>
  <c r="J31" i="1"/>
  <c r="E16" i="2" s="1"/>
  <c r="BB27" i="1"/>
  <c r="AU27" i="1"/>
  <c r="C19" i="4"/>
  <c r="AV74" i="1"/>
  <c r="AW72" i="1"/>
  <c r="AU72" i="1" s="1"/>
  <c r="I69" i="1"/>
  <c r="I68" i="1" s="1"/>
  <c r="D20" i="2" s="1"/>
  <c r="K68" i="1"/>
  <c r="F20" i="2" s="1"/>
  <c r="H20" i="2" s="1"/>
  <c r="BB66" i="1"/>
  <c r="I64" i="1"/>
  <c r="I63" i="1" s="1"/>
  <c r="D19" i="2" s="1"/>
  <c r="K63" i="1"/>
  <c r="F19" i="2" s="1"/>
  <c r="H19" i="2" s="1"/>
  <c r="BB61" i="1"/>
  <c r="I59" i="1"/>
  <c r="J57" i="1"/>
  <c r="J49" i="1" s="1"/>
  <c r="E18" i="2" s="1"/>
  <c r="BB52" i="1"/>
  <c r="I50" i="1"/>
  <c r="K49" i="1"/>
  <c r="F18" i="2" s="1"/>
  <c r="H18" i="2" s="1"/>
  <c r="BB48" i="1"/>
  <c r="I47" i="1"/>
  <c r="J46" i="1"/>
  <c r="J42" i="1" s="1"/>
  <c r="E17" i="2" s="1"/>
  <c r="BB44" i="1"/>
  <c r="I43" i="1"/>
  <c r="K42" i="1"/>
  <c r="F17" i="2" s="1"/>
  <c r="H17" i="2" s="1"/>
  <c r="BB40" i="1"/>
  <c r="I39" i="1"/>
  <c r="I31" i="1" s="1"/>
  <c r="D16" i="2" s="1"/>
  <c r="J37" i="1"/>
  <c r="K26" i="1"/>
  <c r="J15" i="1"/>
  <c r="J12" i="1" s="1"/>
  <c r="E11" i="2" s="1"/>
  <c r="AS12" i="1"/>
  <c r="AW32" i="1"/>
  <c r="BB32" i="1" s="1"/>
  <c r="AV30" i="1"/>
  <c r="AW29" i="1"/>
  <c r="BB29" i="1" s="1"/>
  <c r="AW24" i="1"/>
  <c r="BB24" i="1" s="1"/>
  <c r="AV21" i="1"/>
  <c r="AW19" i="1"/>
  <c r="BB19" i="1" s="1"/>
  <c r="AV17" i="1"/>
  <c r="AK17" i="1"/>
  <c r="AT16" i="1" s="1"/>
  <c r="AU15" i="1"/>
  <c r="AV13" i="1"/>
  <c r="AK13" i="1"/>
  <c r="AR12" i="1"/>
  <c r="C22" i="4" l="1"/>
  <c r="I42" i="1"/>
  <c r="D17" i="2" s="1"/>
  <c r="AU97" i="1"/>
  <c r="BB97" i="1"/>
  <c r="AU103" i="1"/>
  <c r="BB103" i="1"/>
  <c r="AU110" i="1"/>
  <c r="BB110" i="1"/>
  <c r="BB119" i="1"/>
  <c r="AU119" i="1"/>
  <c r="BB131" i="1"/>
  <c r="AU131" i="1"/>
  <c r="BB137" i="1"/>
  <c r="AU137" i="1"/>
  <c r="BB144" i="1"/>
  <c r="AU144" i="1"/>
  <c r="AU153" i="1"/>
  <c r="BB153" i="1"/>
  <c r="AU166" i="1"/>
  <c r="BB166" i="1"/>
  <c r="BB188" i="1"/>
  <c r="AU188" i="1"/>
  <c r="BB195" i="1"/>
  <c r="AU195" i="1"/>
  <c r="BB202" i="1"/>
  <c r="AU202" i="1"/>
  <c r="BB210" i="1"/>
  <c r="AU210" i="1"/>
  <c r="BB212" i="1"/>
  <c r="AU212" i="1"/>
  <c r="BB328" i="1"/>
  <c r="AU328" i="1"/>
  <c r="AU306" i="1"/>
  <c r="BB306" i="1"/>
  <c r="AU368" i="1"/>
  <c r="BB368" i="1"/>
  <c r="AU324" i="1"/>
  <c r="BB324" i="1"/>
  <c r="AU341" i="1"/>
  <c r="BB346" i="1"/>
  <c r="AU346" i="1"/>
  <c r="BB393" i="1"/>
  <c r="AU393" i="1"/>
  <c r="AU229" i="1"/>
  <c r="BB229" i="1"/>
  <c r="BB320" i="1"/>
  <c r="AU320" i="1"/>
  <c r="AU402" i="1"/>
  <c r="AU389" i="1"/>
  <c r="AU100" i="1"/>
  <c r="BB116" i="1"/>
  <c r="AU116" i="1"/>
  <c r="BB123" i="1"/>
  <c r="AU123" i="1"/>
  <c r="BB141" i="1"/>
  <c r="AU141" i="1"/>
  <c r="BB148" i="1"/>
  <c r="AU148" i="1"/>
  <c r="AU161" i="1"/>
  <c r="BB161" i="1"/>
  <c r="AU92" i="1"/>
  <c r="AU171" i="1"/>
  <c r="BB171" i="1"/>
  <c r="BB167" i="1"/>
  <c r="AU167" i="1"/>
  <c r="BB176" i="1"/>
  <c r="AU176" i="1"/>
  <c r="BB183" i="1"/>
  <c r="AU183" i="1"/>
  <c r="BB190" i="1"/>
  <c r="AU190" i="1"/>
  <c r="BB199" i="1"/>
  <c r="AU199" i="1"/>
  <c r="BB206" i="1"/>
  <c r="AU206" i="1"/>
  <c r="AU211" i="1"/>
  <c r="BB211" i="1"/>
  <c r="AU222" i="1"/>
  <c r="BB222" i="1"/>
  <c r="AU215" i="1"/>
  <c r="BB215" i="1"/>
  <c r="BB257" i="1"/>
  <c r="AU257" i="1"/>
  <c r="BB267" i="1"/>
  <c r="AU267" i="1"/>
  <c r="AU294" i="1"/>
  <c r="BB294" i="1"/>
  <c r="AU238" i="1"/>
  <c r="BB238" i="1"/>
  <c r="AU273" i="1"/>
  <c r="BB273" i="1"/>
  <c r="AU226" i="1"/>
  <c r="BB226" i="1"/>
  <c r="BB274" i="1"/>
  <c r="AU274" i="1"/>
  <c r="AU308" i="1"/>
  <c r="BB308" i="1"/>
  <c r="BB304" i="1"/>
  <c r="AU304" i="1"/>
  <c r="AU355" i="1"/>
  <c r="BB355" i="1"/>
  <c r="AU374" i="1"/>
  <c r="BB374" i="1"/>
  <c r="BB342" i="1"/>
  <c r="AU342" i="1"/>
  <c r="AU370" i="1"/>
  <c r="BB370" i="1"/>
  <c r="BB390" i="1"/>
  <c r="AU390" i="1"/>
  <c r="BB413" i="1"/>
  <c r="AU413" i="1"/>
  <c r="AU334" i="1"/>
  <c r="AU379" i="1"/>
  <c r="AU405" i="1"/>
  <c r="BB13" i="1"/>
  <c r="AU13" i="1"/>
  <c r="BB30" i="1"/>
  <c r="AU30" i="1"/>
  <c r="F15" i="2"/>
  <c r="H15" i="2" s="1"/>
  <c r="F66" i="2" s="1"/>
  <c r="K414" i="1"/>
  <c r="I49" i="1"/>
  <c r="D18" i="2" s="1"/>
  <c r="AU29" i="1"/>
  <c r="AU24" i="1"/>
  <c r="AU76" i="1"/>
  <c r="I95" i="1"/>
  <c r="D25" i="2" s="1"/>
  <c r="BB120" i="1"/>
  <c r="AU120" i="1"/>
  <c r="BB127" i="1"/>
  <c r="AU127" i="1"/>
  <c r="BB135" i="1"/>
  <c r="AU135" i="1"/>
  <c r="BB145" i="1"/>
  <c r="AU145" i="1"/>
  <c r="AU152" i="1"/>
  <c r="BB152" i="1"/>
  <c r="BB162" i="1"/>
  <c r="AU162" i="1"/>
  <c r="BB156" i="1"/>
  <c r="AU156" i="1"/>
  <c r="BB187" i="1"/>
  <c r="AU187" i="1"/>
  <c r="BB194" i="1"/>
  <c r="AU194" i="1"/>
  <c r="BB203" i="1"/>
  <c r="AU203" i="1"/>
  <c r="BB208" i="1"/>
  <c r="AU208" i="1"/>
  <c r="BB312" i="1"/>
  <c r="AU312" i="1"/>
  <c r="AU224" i="1"/>
  <c r="BB224" i="1"/>
  <c r="AU266" i="1"/>
  <c r="BB266" i="1"/>
  <c r="AU349" i="1"/>
  <c r="BB375" i="1"/>
  <c r="AU375" i="1"/>
  <c r="BB384" i="1"/>
  <c r="AU384" i="1"/>
  <c r="BB410" i="1"/>
  <c r="AU410" i="1"/>
  <c r="BB335" i="1"/>
  <c r="AU335" i="1"/>
  <c r="AU383" i="1"/>
  <c r="AU363" i="1"/>
  <c r="AU398" i="1"/>
  <c r="AU409" i="1"/>
  <c r="C29" i="4"/>
  <c r="F29" i="4" s="1"/>
  <c r="AT12" i="1"/>
  <c r="BB17" i="1"/>
  <c r="AU17" i="1"/>
  <c r="AU74" i="1"/>
  <c r="BB74" i="1"/>
  <c r="BB21" i="1"/>
  <c r="AU21" i="1"/>
  <c r="AU19" i="1"/>
  <c r="BB112" i="1"/>
  <c r="AU112" i="1"/>
  <c r="AU93" i="1"/>
  <c r="BB93" i="1"/>
  <c r="AU96" i="1"/>
  <c r="BB96" i="1"/>
  <c r="BB115" i="1"/>
  <c r="AU115" i="1"/>
  <c r="BB124" i="1"/>
  <c r="AU124" i="1"/>
  <c r="BB132" i="1"/>
  <c r="AU132" i="1"/>
  <c r="BB140" i="1"/>
  <c r="AU140" i="1"/>
  <c r="AU106" i="1"/>
  <c r="AU149" i="1"/>
  <c r="BB149" i="1"/>
  <c r="BB154" i="1"/>
  <c r="AU154" i="1"/>
  <c r="BB177" i="1"/>
  <c r="AU177" i="1"/>
  <c r="BB184" i="1"/>
  <c r="AU184" i="1"/>
  <c r="BB191" i="1"/>
  <c r="AU191" i="1"/>
  <c r="BB198" i="1"/>
  <c r="AU198" i="1"/>
  <c r="AU207" i="1"/>
  <c r="BB207" i="1"/>
  <c r="BB214" i="1"/>
  <c r="AU214" i="1"/>
  <c r="BB216" i="1"/>
  <c r="AU216" i="1"/>
  <c r="AU251" i="1"/>
  <c r="BB251" i="1"/>
  <c r="AU255" i="1"/>
  <c r="BB255" i="1"/>
  <c r="BB290" i="1"/>
  <c r="AU290" i="1"/>
  <c r="BB293" i="1"/>
  <c r="AU293" i="1"/>
  <c r="BB356" i="1"/>
  <c r="AU356" i="1"/>
  <c r="BB380" i="1"/>
  <c r="AU380" i="1"/>
  <c r="BB399" i="1"/>
  <c r="AU399" i="1"/>
  <c r="BB406" i="1"/>
  <c r="AU406" i="1"/>
  <c r="AU322" i="1"/>
  <c r="BB322" i="1"/>
  <c r="AU412" i="1"/>
  <c r="I28" i="4" l="1"/>
  <c r="I29" i="4" s="1"/>
</calcChain>
</file>

<file path=xl/sharedStrings.xml><?xml version="1.0" encoding="utf-8"?>
<sst xmlns="http://schemas.openxmlformats.org/spreadsheetml/2006/main" count="4766" uniqueCount="1193">
  <si>
    <t>Slepý stavební rozpočet</t>
  </si>
  <si>
    <t>Název stavby:</t>
  </si>
  <si>
    <t>Druh stavby:</t>
  </si>
  <si>
    <t>Umístění: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</si>
  <si>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</si>
  <si>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</si>
  <si>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</si>
  <si>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</si>
  <si>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</si>
  <si>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</si>
  <si>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</si>
  <si>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</si>
  <si>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</si>
  <si>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</si>
  <si>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</si>
  <si>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</si>
  <si>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</si>
  <si>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</si>
  <si>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</si>
  <si>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</si>
  <si>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</si>
  <si>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</si>
  <si>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</si>
  <si>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</si>
  <si>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</si>
  <si>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</si>
  <si>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</si>
  <si>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</si>
  <si>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</si>
  <si>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</si>
  <si>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</si>
  <si>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</si>
  <si>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</si>
  <si>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</si>
  <si>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</si>
  <si>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</si>
  <si>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</si>
  <si>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</si>
  <si>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</si>
  <si>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</si>
  <si>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</si>
  <si>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</si>
  <si>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</si>
  <si>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</si>
  <si>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</si>
  <si>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</si>
  <si>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</si>
  <si>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</si>
  <si>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</si>
  <si>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</si>
  <si>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</si>
  <si>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</si>
  <si>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</si>
  <si>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</si>
  <si>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</si>
  <si>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</si>
  <si>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</si>
  <si>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</si>
  <si>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</si>
  <si>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</si>
  <si>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</si>
  <si>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</si>
  <si>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</si>
  <si>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</si>
  <si>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</si>
  <si>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</si>
  <si>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</si>
  <si>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</si>
  <si>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</si>
  <si>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</si>
  <si>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</si>
  <si>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</si>
  <si>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</si>
  <si>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</si>
  <si>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</si>
  <si>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</si>
  <si>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</si>
  <si>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</si>
  <si>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</si>
  <si>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</si>
  <si>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</si>
  <si>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</si>
  <si>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</si>
  <si>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</si>
  <si>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</si>
  <si>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</si>
  <si>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</si>
  <si>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</si>
  <si>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</si>
  <si>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</si>
  <si>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</si>
  <si>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</si>
  <si>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</si>
  <si>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</si>
  <si>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</si>
  <si>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</si>
  <si>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</si>
  <si>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</si>
  <si>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</si>
  <si>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</si>
  <si>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</si>
  <si>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</si>
  <si>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</si>
  <si>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</si>
  <si>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</si>
  <si>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</si>
  <si>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</si>
  <si>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</si>
  <si>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</si>
  <si>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</si>
  <si>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</si>
  <si>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</si>
  <si>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</si>
  <si>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</si>
  <si>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</si>
  <si>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</si>
  <si>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</si>
  <si>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</si>
  <si>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</si>
  <si>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</si>
  <si>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</si>
  <si>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</si>
  <si>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</si>
  <si>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</si>
  <si>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</si>
  <si>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</si>
  <si>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</si>
  <si>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</si>
  <si>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</si>
  <si>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</si>
  <si>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</si>
  <si>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</si>
  <si>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</si>
  <si>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</si>
  <si>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</si>
  <si>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</si>
  <si>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</si>
  <si>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</si>
  <si>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</si>
  <si>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</si>
  <si>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</si>
  <si>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</si>
  <si>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</si>
  <si>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</si>
  <si>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</si>
  <si>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</si>
  <si>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</si>
  <si>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</si>
  <si>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</si>
  <si>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</si>
  <si>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</si>
  <si>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</si>
  <si>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</si>
  <si>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</si>
  <si>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</si>
  <si>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</si>
  <si>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</si>
  <si>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</si>
  <si>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</si>
  <si>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</si>
  <si>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</si>
  <si>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</si>
  <si>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</si>
  <si>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</si>
  <si>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</si>
  <si>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</si>
  <si>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</si>
  <si>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</si>
  <si>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</si>
  <si>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</si>
  <si>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</si>
  <si>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</si>
  <si>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</si>
  <si>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</si>
  <si>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</si>
  <si>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</si>
  <si>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</si>
  <si>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</si>
  <si>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</si>
  <si>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</si>
  <si>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</si>
  <si>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</si>
  <si>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</si>
  <si>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</si>
  <si>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</si>
  <si>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</si>
  <si>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</si>
  <si>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</si>
  <si>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</si>
  <si>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</si>
  <si>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</si>
  <si>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</si>
  <si>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</si>
  <si>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</si>
  <si>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</si>
  <si>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</si>
  <si>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</si>
  <si>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</si>
  <si>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</si>
  <si>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</si>
  <si>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</si>
  <si>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</si>
  <si>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</si>
  <si>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</si>
  <si>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</si>
  <si>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</si>
  <si>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</si>
  <si>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</si>
  <si>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</si>
  <si>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</si>
  <si>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</si>
  <si>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</si>
  <si>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</si>
  <si>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</si>
  <si>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</si>
  <si>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</si>
  <si>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</si>
  <si>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</si>
  <si>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</si>
  <si>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</si>
  <si>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</si>
  <si>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</si>
  <si>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</si>
  <si>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</si>
  <si>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</si>
  <si>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</si>
  <si>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</si>
  <si>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</si>
  <si>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</si>
  <si>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</si>
  <si>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</si>
  <si>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</si>
  <si>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</si>
  <si>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</si>
  <si>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</si>
  <si>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</si>
  <si>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</si>
  <si>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</si>
  <si>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</si>
  <si>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</si>
  <si>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</si>
  <si>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</si>
  <si>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</si>
  <si>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</si>
  <si>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</si>
  <si>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</si>
  <si>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</si>
  <si>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</si>
  <si>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</si>
  <si>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</si>
  <si>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</si>
  <si>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</si>
  <si>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</si>
  <si>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</si>
  <si>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</si>
  <si>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</si>
  <si>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</si>
  <si>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</si>
  <si>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</si>
  <si>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</si>
  <si>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</si>
  <si>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</si>
  <si>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</si>
  <si>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</si>
  <si>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</si>
  <si>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</si>
  <si>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</si>
  <si>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</si>
  <si>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</si>
  <si>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</si>
  <si>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</si>
  <si>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</si>
  <si>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</si>
  <si>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</si>
  <si>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</si>
  <si>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</si>
  <si>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</si>
  <si>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</si>
  <si>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</si>
  <si>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</si>
  <si>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</si>
  <si>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</si>
  <si>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</si>
  <si>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</si>
  <si>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</si>
  <si>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</si>
  <si>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</si>
  <si>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</si>
  <si>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</si>
  <si>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</si>
  <si>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</si>
  <si>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</si>
  <si>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</si>
  <si>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</si>
  <si>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</si>
  <si>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</si>
  <si>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</si>
  <si>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</si>
  <si>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</si>
  <si>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</si>
  <si>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</si>
  <si>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Poznámka:</t>
  </si>
  <si>
    <t>Kód</t>
  </si>
  <si>
    <t>115101302R00</t>
  </si>
  <si>
    <t>111101101R00</t>
  </si>
  <si>
    <t>11VD</t>
  </si>
  <si>
    <t>11001VD</t>
  </si>
  <si>
    <t>121101100R00</t>
  </si>
  <si>
    <t>122101101R00</t>
  </si>
  <si>
    <t>139601103R00</t>
  </si>
  <si>
    <t>167101102R00</t>
  </si>
  <si>
    <t>162701105R00</t>
  </si>
  <si>
    <t>162702199R00</t>
  </si>
  <si>
    <t>171101105R00</t>
  </si>
  <si>
    <t>174101102R00</t>
  </si>
  <si>
    <t>58337320</t>
  </si>
  <si>
    <t>564261113R00</t>
  </si>
  <si>
    <t>979082318R00</t>
  </si>
  <si>
    <t>340235212R00</t>
  </si>
  <si>
    <t>310237241RT1</t>
  </si>
  <si>
    <t>310236241R00</t>
  </si>
  <si>
    <t>42972805</t>
  </si>
  <si>
    <t>28349061</t>
  </si>
  <si>
    <t>338171122R00</t>
  </si>
  <si>
    <t>338171112R00</t>
  </si>
  <si>
    <t>444001VD</t>
  </si>
  <si>
    <t>444002VD</t>
  </si>
  <si>
    <t>444007VD</t>
  </si>
  <si>
    <t>444003VD</t>
  </si>
  <si>
    <t>591100020RA0</t>
  </si>
  <si>
    <t>59248000</t>
  </si>
  <si>
    <t>612451231R00</t>
  </si>
  <si>
    <t>612474510RT4</t>
  </si>
  <si>
    <t>611421211R00</t>
  </si>
  <si>
    <t>612401191RT2</t>
  </si>
  <si>
    <t>620451121R00</t>
  </si>
  <si>
    <t>631315621RM1</t>
  </si>
  <si>
    <t>641941111R00</t>
  </si>
  <si>
    <t>61143000</t>
  </si>
  <si>
    <t>642942111RT4</t>
  </si>
  <si>
    <t>642943111R00</t>
  </si>
  <si>
    <t>61165636</t>
  </si>
  <si>
    <t>766669922R00</t>
  </si>
  <si>
    <t>54914625</t>
  </si>
  <si>
    <t>713</t>
  </si>
  <si>
    <t>713400821R00</t>
  </si>
  <si>
    <t>722181211RT7</t>
  </si>
  <si>
    <t>722181214RU1</t>
  </si>
  <si>
    <t>722181214RW4</t>
  </si>
  <si>
    <t>722181214RY3</t>
  </si>
  <si>
    <t>722181214RY5</t>
  </si>
  <si>
    <t>721</t>
  </si>
  <si>
    <t>721176103R00</t>
  </si>
  <si>
    <t>721225202R00</t>
  </si>
  <si>
    <t>721176101R00</t>
  </si>
  <si>
    <t>722172333R00</t>
  </si>
  <si>
    <t>722170923R00</t>
  </si>
  <si>
    <t>721170909R00</t>
  </si>
  <si>
    <t>721194103R00</t>
  </si>
  <si>
    <t>721173303R00</t>
  </si>
  <si>
    <t>722</t>
  </si>
  <si>
    <t>722130901R00</t>
  </si>
  <si>
    <t>722170801R00</t>
  </si>
  <si>
    <t>722160811R00</t>
  </si>
  <si>
    <t>722131912R00</t>
  </si>
  <si>
    <t>722172731R00</t>
  </si>
  <si>
    <t>722179191R00</t>
  </si>
  <si>
    <t>722238111R00</t>
  </si>
  <si>
    <t>722280106R00</t>
  </si>
  <si>
    <t>723</t>
  </si>
  <si>
    <t>723150312R00</t>
  </si>
  <si>
    <t>723120205R00</t>
  </si>
  <si>
    <t>723120203R00</t>
  </si>
  <si>
    <t>723120202R00</t>
  </si>
  <si>
    <t>734264312R00</t>
  </si>
  <si>
    <t>723235216R00</t>
  </si>
  <si>
    <t>723235111R00</t>
  </si>
  <si>
    <t>723190251R00</t>
  </si>
  <si>
    <t>723190907R00</t>
  </si>
  <si>
    <t>723190909R00</t>
  </si>
  <si>
    <t>723237265R00</t>
  </si>
  <si>
    <t>734271134R00</t>
  </si>
  <si>
    <t>734209116R00</t>
  </si>
  <si>
    <t>723239106R00</t>
  </si>
  <si>
    <t>731</t>
  </si>
  <si>
    <t>731391814R00</t>
  </si>
  <si>
    <t>731100808R00</t>
  </si>
  <si>
    <t>731100836R00</t>
  </si>
  <si>
    <t>731119620R00</t>
  </si>
  <si>
    <t>08001VD</t>
  </si>
  <si>
    <t>734134412R00</t>
  </si>
  <si>
    <t>08002VD</t>
  </si>
  <si>
    <t>08003VD</t>
  </si>
  <si>
    <t>11008VD</t>
  </si>
  <si>
    <t>731249322R00</t>
  </si>
  <si>
    <t>11003VD</t>
  </si>
  <si>
    <t>11006VD</t>
  </si>
  <si>
    <t>10002VD</t>
  </si>
  <si>
    <t>10024VD</t>
  </si>
  <si>
    <t>10006VD</t>
  </si>
  <si>
    <t>10020VD</t>
  </si>
  <si>
    <t>10004VD</t>
  </si>
  <si>
    <t>10001VD</t>
  </si>
  <si>
    <t>10003VD</t>
  </si>
  <si>
    <t>731412167R00</t>
  </si>
  <si>
    <t>10027VD</t>
  </si>
  <si>
    <t>10028VD</t>
  </si>
  <si>
    <t>06003VD</t>
  </si>
  <si>
    <t>732</t>
  </si>
  <si>
    <t>732324821R00</t>
  </si>
  <si>
    <t>732214815R00</t>
  </si>
  <si>
    <t>732320814R00</t>
  </si>
  <si>
    <t>732420812R00</t>
  </si>
  <si>
    <t>732111125R00</t>
  </si>
  <si>
    <t>732339109R00</t>
  </si>
  <si>
    <t>732339101R00</t>
  </si>
  <si>
    <t>732419111R00</t>
  </si>
  <si>
    <t>732419112R00</t>
  </si>
  <si>
    <t>732419115R00</t>
  </si>
  <si>
    <t>732419113R00</t>
  </si>
  <si>
    <t>732419116R00</t>
  </si>
  <si>
    <t>20002VD</t>
  </si>
  <si>
    <t>732420811R00</t>
  </si>
  <si>
    <t>732421312R00</t>
  </si>
  <si>
    <t>732429112R00</t>
  </si>
  <si>
    <t>733</t>
  </si>
  <si>
    <t>733120826R00</t>
  </si>
  <si>
    <t>733110806R00</t>
  </si>
  <si>
    <t>733121222R00</t>
  </si>
  <si>
    <t>733111318R00</t>
  </si>
  <si>
    <t>733111317R00</t>
  </si>
  <si>
    <t>733111315R00</t>
  </si>
  <si>
    <t>733111314R00</t>
  </si>
  <si>
    <t>733111313R00</t>
  </si>
  <si>
    <t>734</t>
  </si>
  <si>
    <t>734200824R00</t>
  </si>
  <si>
    <t>734109214R00</t>
  </si>
  <si>
    <t>734193266R00</t>
  </si>
  <si>
    <t>734237125R00</t>
  </si>
  <si>
    <t>734237112R00</t>
  </si>
  <si>
    <t>734237111R00</t>
  </si>
  <si>
    <t>734237143R00</t>
  </si>
  <si>
    <t>734237142R00</t>
  </si>
  <si>
    <t>734237141R00</t>
  </si>
  <si>
    <t>734243416R00</t>
  </si>
  <si>
    <t>734244423R00</t>
  </si>
  <si>
    <t>734254111R00</t>
  </si>
  <si>
    <t>734265316R00</t>
  </si>
  <si>
    <t>734265314R00</t>
  </si>
  <si>
    <t>734265313R00</t>
  </si>
  <si>
    <t>734265312R00</t>
  </si>
  <si>
    <t>734265124R00</t>
  </si>
  <si>
    <t>734421150R00</t>
  </si>
  <si>
    <t>722264321R00</t>
  </si>
  <si>
    <t>734215133R00</t>
  </si>
  <si>
    <t>734295382R00</t>
  </si>
  <si>
    <t>734209115R00</t>
  </si>
  <si>
    <t>734173216R00</t>
  </si>
  <si>
    <t>734173214R00</t>
  </si>
  <si>
    <t>734173213R00</t>
  </si>
  <si>
    <t>735</t>
  </si>
  <si>
    <t>735494811R00</t>
  </si>
  <si>
    <t>762</t>
  </si>
  <si>
    <t>762132137RT2</t>
  </si>
  <si>
    <t>762132811R00</t>
  </si>
  <si>
    <t>764</t>
  </si>
  <si>
    <t>764719433R00</t>
  </si>
  <si>
    <t>767</t>
  </si>
  <si>
    <t>767649191R00</t>
  </si>
  <si>
    <t>767911130R00</t>
  </si>
  <si>
    <t>767912110R00</t>
  </si>
  <si>
    <t>767920210R00</t>
  </si>
  <si>
    <t>444004VD</t>
  </si>
  <si>
    <t>444005VD</t>
  </si>
  <si>
    <t>311716521</t>
  </si>
  <si>
    <t>444006VD</t>
  </si>
  <si>
    <t>338963181R00</t>
  </si>
  <si>
    <t>444008VD</t>
  </si>
  <si>
    <t>767911821R00</t>
  </si>
  <si>
    <t>767995108R00</t>
  </si>
  <si>
    <t>771</t>
  </si>
  <si>
    <t>771575107RT2</t>
  </si>
  <si>
    <t>771441015R00</t>
  </si>
  <si>
    <t>771101121R00</t>
  </si>
  <si>
    <t>59764203</t>
  </si>
  <si>
    <t>59764240</t>
  </si>
  <si>
    <t>783</t>
  </si>
  <si>
    <t>783421310R00</t>
  </si>
  <si>
    <t>783424140R00</t>
  </si>
  <si>
    <t>783425150R00</t>
  </si>
  <si>
    <t>783424340R00</t>
  </si>
  <si>
    <t>783122710R00</t>
  </si>
  <si>
    <t>783122210R00</t>
  </si>
  <si>
    <t>962032631R00</t>
  </si>
  <si>
    <t>968019541R00</t>
  </si>
  <si>
    <t>965042141RT1</t>
  </si>
  <si>
    <t>968072455R00</t>
  </si>
  <si>
    <t>962032314R00</t>
  </si>
  <si>
    <t>962071711R00</t>
  </si>
  <si>
    <t>784</t>
  </si>
  <si>
    <t>784011222RT2</t>
  </si>
  <si>
    <t>784432261R00</t>
  </si>
  <si>
    <t>795</t>
  </si>
  <si>
    <t>795221131R00</t>
  </si>
  <si>
    <t>917732111R00</t>
  </si>
  <si>
    <t>59217003</t>
  </si>
  <si>
    <t>936121111R00</t>
  </si>
  <si>
    <t>936172111R00</t>
  </si>
  <si>
    <t>936172112R00</t>
  </si>
  <si>
    <t>971042123R00</t>
  </si>
  <si>
    <t>971042151R00</t>
  </si>
  <si>
    <t>971042251R00</t>
  </si>
  <si>
    <t>971033123R00</t>
  </si>
  <si>
    <t>H01</t>
  </si>
  <si>
    <t>998011001R00</t>
  </si>
  <si>
    <t>H14</t>
  </si>
  <si>
    <t>998142261R00</t>
  </si>
  <si>
    <t>H15</t>
  </si>
  <si>
    <t>998151111R00</t>
  </si>
  <si>
    <t>H22</t>
  </si>
  <si>
    <t>998223011R00</t>
  </si>
  <si>
    <t>H23</t>
  </si>
  <si>
    <t>998235011R00</t>
  </si>
  <si>
    <t>H27</t>
  </si>
  <si>
    <t>998276101R00</t>
  </si>
  <si>
    <t>H28</t>
  </si>
  <si>
    <t>998289011R00</t>
  </si>
  <si>
    <t>H713</t>
  </si>
  <si>
    <t>998713101R00</t>
  </si>
  <si>
    <t>H721</t>
  </si>
  <si>
    <t>998721101R00</t>
  </si>
  <si>
    <t>H722</t>
  </si>
  <si>
    <t>998722101R00</t>
  </si>
  <si>
    <t>H723</t>
  </si>
  <si>
    <t>998723101R00</t>
  </si>
  <si>
    <t>H731</t>
  </si>
  <si>
    <t>998731101R00</t>
  </si>
  <si>
    <t>H732</t>
  </si>
  <si>
    <t>998732101R00</t>
  </si>
  <si>
    <t>H733</t>
  </si>
  <si>
    <t>998733101R00</t>
  </si>
  <si>
    <t>H734</t>
  </si>
  <si>
    <t>998734101R00</t>
  </si>
  <si>
    <t>H77VD</t>
  </si>
  <si>
    <t>77003VD</t>
  </si>
  <si>
    <t>77002VD</t>
  </si>
  <si>
    <t>77001VD</t>
  </si>
  <si>
    <t>M06VD</t>
  </si>
  <si>
    <t>0604VD</t>
  </si>
  <si>
    <t>72310VD</t>
  </si>
  <si>
    <t>06007VD</t>
  </si>
  <si>
    <t>06004VD</t>
  </si>
  <si>
    <t>340912279R00</t>
  </si>
  <si>
    <t>06005VD</t>
  </si>
  <si>
    <t>M21</t>
  </si>
  <si>
    <t>210220002RT2</t>
  </si>
  <si>
    <t>210220022RT1</t>
  </si>
  <si>
    <t>210220361RT1</t>
  </si>
  <si>
    <t>210220301RT2</t>
  </si>
  <si>
    <t>210220321R00</t>
  </si>
  <si>
    <t>222111003R00</t>
  </si>
  <si>
    <t>222111002R00</t>
  </si>
  <si>
    <t>21008VD</t>
  </si>
  <si>
    <t>220263113RT3</t>
  </si>
  <si>
    <t>210810046RT3</t>
  </si>
  <si>
    <t>210810045RT1</t>
  </si>
  <si>
    <t>210810050RT1</t>
  </si>
  <si>
    <t>210810041RT1</t>
  </si>
  <si>
    <t>21 - 00VD</t>
  </si>
  <si>
    <t>210010002RT1</t>
  </si>
  <si>
    <t>21003VD</t>
  </si>
  <si>
    <t>21002VD</t>
  </si>
  <si>
    <t>210010002R00</t>
  </si>
  <si>
    <t>210191013R00</t>
  </si>
  <si>
    <t>210111021RT1</t>
  </si>
  <si>
    <t>210800547RT1</t>
  </si>
  <si>
    <t>21007VD</t>
  </si>
  <si>
    <t>21101VD</t>
  </si>
  <si>
    <t>21103VD</t>
  </si>
  <si>
    <t>0017VD</t>
  </si>
  <si>
    <t>21110VD</t>
  </si>
  <si>
    <t>21005VD</t>
  </si>
  <si>
    <t>21102VD</t>
  </si>
  <si>
    <t>210950101RT1</t>
  </si>
  <si>
    <t>M23</t>
  </si>
  <si>
    <t>230191007R00</t>
  </si>
  <si>
    <t>230200011R00</t>
  </si>
  <si>
    <t>28613123.M</t>
  </si>
  <si>
    <t>230194001R00</t>
  </si>
  <si>
    <t>230220016R00</t>
  </si>
  <si>
    <t>230210013R00</t>
  </si>
  <si>
    <t>333010VD</t>
  </si>
  <si>
    <t>230195040R00</t>
  </si>
  <si>
    <t>723234901R00</t>
  </si>
  <si>
    <t>723191112R00</t>
  </si>
  <si>
    <t>723234221R00</t>
  </si>
  <si>
    <t>M46</t>
  </si>
  <si>
    <t>460070253R00</t>
  </si>
  <si>
    <t>460070254RT1VD</t>
  </si>
  <si>
    <t>460490012RT1</t>
  </si>
  <si>
    <t>460270102RT1</t>
  </si>
  <si>
    <t>42291357</t>
  </si>
  <si>
    <t>422915501</t>
  </si>
  <si>
    <t>460030072RT3</t>
  </si>
  <si>
    <t>460620006RT1</t>
  </si>
  <si>
    <t>M72VD</t>
  </si>
  <si>
    <t>72306VD</t>
  </si>
  <si>
    <t>723 02VD</t>
  </si>
  <si>
    <t>723 01VD</t>
  </si>
  <si>
    <t>72304VD</t>
  </si>
  <si>
    <t>727311VD</t>
  </si>
  <si>
    <t>727312VD</t>
  </si>
  <si>
    <t>72303VD</t>
  </si>
  <si>
    <t>S</t>
  </si>
  <si>
    <t>979082212R00</t>
  </si>
  <si>
    <t>979981101R00</t>
  </si>
  <si>
    <t>Plynová kotelna pro vytápění MŠ Doubrava</t>
  </si>
  <si>
    <t>Občanská vybavenost</t>
  </si>
  <si>
    <t>Obec Doubrava, č.p. 496,  735 33 Doubrava</t>
  </si>
  <si>
    <t>Zkrácený popis</t>
  </si>
  <si>
    <t>Rozměry</t>
  </si>
  <si>
    <t>Přípravné a přidružené práce</t>
  </si>
  <si>
    <t>Pohotovost čerp.soupravy, výška 10 m,přítok 1000 l</t>
  </si>
  <si>
    <t>   Pro případ vytrvalého deště - čerpání z výkopu</t>
  </si>
  <si>
    <t>Odstranění travin na ploše do 0,1 ha</t>
  </si>
  <si>
    <t>Vedlejší náklady</t>
  </si>
  <si>
    <t>Hlídka po ukončení práce s otevř. ohněm</t>
  </si>
  <si>
    <t>Odkopávky a prokopávky</t>
  </si>
  <si>
    <t>Sejmutí ornice tl.15, pl. do 400 m2, přemístění do 50 m</t>
  </si>
  <si>
    <t>(62-40)*0,15+6,3*0,4*0,15   dlažba + výkop</t>
  </si>
  <si>
    <t>Odkopávky nezapažené v hor. 2 do 100 m3</t>
  </si>
  <si>
    <t>62*0,15   Plocha dlažby</t>
  </si>
  <si>
    <t>Hloubené vykopávky</t>
  </si>
  <si>
    <t>Ruční výkop jam, rýh a šachet v hornině tř. 4</t>
  </si>
  <si>
    <t>6,5*0,4*0,9+6*0,4*0,7   </t>
  </si>
  <si>
    <t>Přemístění výkopku</t>
  </si>
  <si>
    <t>Nakládání výkopku z hor.1-4</t>
  </si>
  <si>
    <t>62*0,3+2,41+22*0,018+6*0,05   materiál nahrazený pískem, betonem, štěrkopískem aj.</t>
  </si>
  <si>
    <t>Vodorovné přemístění výkopku z hor.1-4 do 10000 m - odvoz na skládku</t>
  </si>
  <si>
    <t>Poplatek za skládku zeminy</t>
  </si>
  <si>
    <t>Konstrukce ze zemin, písek</t>
  </si>
  <si>
    <t>Uložení sypaniny do násypů zhutněných na 107% PS</t>
  </si>
  <si>
    <t>(12,5*0,4*0,45)*1,07   Podsyp, obsyp pískem potrubí, podsyp demont.zpevněných</t>
  </si>
  <si>
    <t xml:space="preserve"> povrchů 10cm, koef.nerovn. výkopu, zhutnění  7%, š.0,4, v. 0,45,   </t>
  </si>
  <si>
    <t>Zásyp rýh výkopkem ruční se zhutněním</t>
  </si>
  <si>
    <t>(6,0*0,4*(1-0,3-0,45)+6,5*0,4*(1-0,45))*1,07   Zásyp vytěženou zeminou. koef. nerovnom. výkopu 1.07</t>
  </si>
  <si>
    <t>Písek kopaný žlutý</t>
  </si>
  <si>
    <t>2,41*1,62   Přepočet m3 / tuny</t>
  </si>
  <si>
    <t>Podklad ze štěrkopísku po zhutnění tloušťky 22 cm (pod dlažbu a panely)</t>
  </si>
  <si>
    <t>Vodorovná doprava hmot po suchu do 6000 m</t>
  </si>
  <si>
    <t>3,9+27,608   </t>
  </si>
  <si>
    <t>Zdi podpěrné a volné</t>
  </si>
  <si>
    <t>Zazdívka otvorů 0,0225 m2 pórobetonem, tl.15cm (odpadní potrubí)</t>
  </si>
  <si>
    <t>Zazdívka otvorů pl.do 0,25 m2 (odtahy spalin, reviz.otvor, přív.vzduchu, větrání)</t>
  </si>
  <si>
    <t>Mont. odvětrávací mřížky odtahů spalin</t>
  </si>
  <si>
    <t>Mřížka čtyřhranná vel. 200x200.20</t>
  </si>
  <si>
    <t>Mont. větracích mřížek pr.125+ dod. trubka 0,3m</t>
  </si>
  <si>
    <t>Mřížka větrací PS kulatá d=125 mm se síťkou bílá</t>
  </si>
  <si>
    <t>Sloupy a pilíře, stožáry a rámové stojky</t>
  </si>
  <si>
    <t>Osazení stojin U140 konstrukce přístřešku, zabet.C 25/30</t>
  </si>
  <si>
    <t>6   průměr vývrtu 0,25; hl.0,8 m - stojiny U140, vč.betonáže C16/20 X0, vývrt není souč.položky</t>
  </si>
  <si>
    <t>Osazení sloupků a vzpěr plotových ocelových do výšky 2 m, vč.betonáže 0,02m3</t>
  </si>
  <si>
    <t>22   průměr vývrtu 0,15; hl.0,8 m - sloupky a vzpěry, vč.betonáže C16/20 X0, vývrt není souč.položky</t>
  </si>
  <si>
    <t>Sloupek plotový průměr 48 mm, poplastovaný, výška 210 cm</t>
  </si>
  <si>
    <t>10   Délka sloupku 210 cm,  Trubka 48 mm o síle stěny 1,5 mm, barva jedlová zeleň (RAL 6005),</t>
  </si>
  <si>
    <t>vč. 3 ks zelených plastových úchytek a černého víčka.   Žárově pozinkováno a poplastováno</t>
  </si>
  <si>
    <t>Vzpěra plotového sloupku 210 cm průměr 38 mm tl. 1,5 mm,  poplastovaná</t>
  </si>
  <si>
    <t>10   Barva jedlová zeleň (RAL 6005). Žárově pozinkováno a poplastováno</t>
  </si>
  <si>
    <t>Objímka průměr 60 mm poplastovaná</t>
  </si>
  <si>
    <t>2   Pro montáž vzpěry k brankovému sloupku. Barva jedlová zeleň (RAL 6005).</t>
  </si>
  <si>
    <t>Objímka průměr 48 mm poplastovaná</t>
  </si>
  <si>
    <t>6   Pro montáž vzpěry ke sloupku. Barva jedlová zeleň (RAL 6005).</t>
  </si>
  <si>
    <t>Zpevněné plochy (kromě vozovek a železničního svršku)</t>
  </si>
  <si>
    <t>Osazení dlažby zámkové, hutnění podkladu</t>
  </si>
  <si>
    <t>62-1,19*3*2   </t>
  </si>
  <si>
    <t>Dlažba zámková tl. 6-8 cm</t>
  </si>
  <si>
    <t>54,86*1,02   2% ztratné</t>
  </si>
  <si>
    <t>Úprava povrchů vnitřní</t>
  </si>
  <si>
    <t>Oprava omítek stěn štukových do 10 %</t>
  </si>
  <si>
    <t>7,2*2,68   </t>
  </si>
  <si>
    <t>Omítka stěn vnitřní jednovrstvá vápenocement. filc</t>
  </si>
  <si>
    <t>Oprava váp.omítek stropů do 10% plochy - hrubých</t>
  </si>
  <si>
    <t>7,2   </t>
  </si>
  <si>
    <t>Omítka malých ploch vnitřních stěn do 0,09 m2</t>
  </si>
  <si>
    <t>Úprava povrchů vnější</t>
  </si>
  <si>
    <t>Omítka cementová stěn zatřená dř.hladítkem, hladká</t>
  </si>
  <si>
    <t>Podlahy a podlahové konstrukce</t>
  </si>
  <si>
    <t>Mazanina betonová tl. 20 cm C 20/25 - podstavec pod kotle</t>
  </si>
  <si>
    <t>1,6*0,55*0,2   </t>
  </si>
  <si>
    <t>Výplně otvorů</t>
  </si>
  <si>
    <t>Osazení rámů okenních ocelových, plocha do 1 m2</t>
  </si>
  <si>
    <t>Okno plastové jednodílné cca 58 x 50 cm otevíratelné</t>
  </si>
  <si>
    <t>Osazení zárubní dveřních ocelových, 80x197*11 vč. dod. pravé zárubně</t>
  </si>
  <si>
    <t>Osazení prahů bukových vč. dod. prahu</t>
  </si>
  <si>
    <t>Dveře plné pravé  80x197 cm</t>
  </si>
  <si>
    <t>Osazení kování, zámku a vložky Fab</t>
  </si>
  <si>
    <t>Dveřní kování, zámek, vložka FAB</t>
  </si>
  <si>
    <t>Izolace tepelné potrubí</t>
  </si>
  <si>
    <t>Odstranění izolačních pásů potrubí</t>
  </si>
  <si>
    <t>Izolace návleková potrubí DN15 a PPr20, tl. stěny 6 mm (doplň.do syst+SV)</t>
  </si>
  <si>
    <t>Izolace návleková DN25, pěn.polyetylen, tl.20 mm, vč.přelepení páskou</t>
  </si>
  <si>
    <t>Izolace návleková DN40, pěn.polyetylen, tl.20 mm, vč.přelepení páskou</t>
  </si>
  <si>
    <t>Izolace návleková DN50, pěn.polyetylen, tl.20 mm, vč.přelepení páskou</t>
  </si>
  <si>
    <t>Izolace návleková D76, pěn.polyetylen, tl.20 mm, vč.přelepení páskou</t>
  </si>
  <si>
    <t>Vnitřní kanalizace</t>
  </si>
  <si>
    <t>Potrubí HT D 50 x 1,8 mm - sestava - odvod od poj.vent.aj.</t>
  </si>
  <si>
    <t>Klapka zpětná kanalizační přímá DN 50, vodorovná, plast</t>
  </si>
  <si>
    <t>Potrubí HT připojovací D 32 x 1,8 mm</t>
  </si>
  <si>
    <t>Potrubí z PPR, D 32 / 10 bar, vč. uchycení</t>
  </si>
  <si>
    <t>Spojka přímá D32, zapáskování nerez</t>
  </si>
  <si>
    <t>Oprava potrubí PVC odpadní, vsazení odbočky D 110 x D32</t>
  </si>
  <si>
    <t>T-kusy propojení hadic 3/4" + zapáskování nerez</t>
  </si>
  <si>
    <t>Hadice odvodu kondenzátu - 3/4" plastová, s výpletem</t>
  </si>
  <si>
    <t>Vnitřní vodovod</t>
  </si>
  <si>
    <t>Zaslepení vývodu DN15-20</t>
  </si>
  <si>
    <t>Demontáž rozvodů vody z plastů do D 32</t>
  </si>
  <si>
    <t>Demontáž potrubí z měděných trubek do D 28</t>
  </si>
  <si>
    <t>Oprava-potrubí závitové,vsazení odbočky, napojení nového úseku D 20</t>
  </si>
  <si>
    <t>Potrubí z PPR D20 x 3,4 mm, PN 20</t>
  </si>
  <si>
    <t>Příplatek za malý rozsah do 20 m rozvodu</t>
  </si>
  <si>
    <t>Kohout vod.kulový DN 15</t>
  </si>
  <si>
    <t>Tlaková zkouška vodovodního potrubí do DN 32</t>
  </si>
  <si>
    <t>Vnitřní plynovod</t>
  </si>
  <si>
    <t>Potrubí ocelové hladké černé svařované D 57x2,9 - chráničky</t>
  </si>
  <si>
    <t>Potrubí ocelové závitové černé svařované DN 32</t>
  </si>
  <si>
    <t>Potrubí ocelové závitové černé svařované DN 20</t>
  </si>
  <si>
    <t>Potrubí ocelové závitové černé svařované DN 15</t>
  </si>
  <si>
    <t>Šroubení přímé, DN 15</t>
  </si>
  <si>
    <t>Kohout kulový, vnitř.-vnitř.z.  DN 32</t>
  </si>
  <si>
    <t>Kohout kulový,vnitřní-vnitřní z.  DN 15</t>
  </si>
  <si>
    <t>Vyvedení a upevnění plynovodních výpustek DN 15, záslepka</t>
  </si>
  <si>
    <t>Odvzdušnění a napuštění plynového potrubí</t>
  </si>
  <si>
    <t>Zkouška tlaková a zkouška těsnosti plynového potrubí</t>
  </si>
  <si>
    <t>Kulový kohout připojení manometru s nulováním TK1020 M20x1/2"</t>
  </si>
  <si>
    <t>Manometr pr. 100-160, 0-6 KPa</t>
  </si>
  <si>
    <t>Redukce G6/4" x G5/4"</t>
  </si>
  <si>
    <t>El. mag. ventil 6/4"typ PEVEKO EVPE 1040.02</t>
  </si>
  <si>
    <t>   přesný typ výrobku  předepsán, jedná se o bezpečnostní prvek</t>
  </si>
  <si>
    <t>Kotelny</t>
  </si>
  <si>
    <t>Vypouštění vody z kotlů do 5 m2 přečerpáváním</t>
  </si>
  <si>
    <t>Demontáž kotle litinového Viadrus U26 10 čl.</t>
  </si>
  <si>
    <t>Demontáž kotle litinového E I.</t>
  </si>
  <si>
    <t>Montáž kondenzačního stacionárního kotle do 50 kW, přestavba na propan</t>
  </si>
  <si>
    <t>Plyn.kotel kond., ZP, 10,1-49,9 kW, š/h/v-600/800/965</t>
  </si>
  <si>
    <t>Pojistná skupina kotle 3 bar / 1" /50 kW - dod. výrobce kotle</t>
  </si>
  <si>
    <t>2   sestava poj.vent.50 kW, manometr, odvzd. automat, izolace</t>
  </si>
  <si>
    <t>Regulátor vytápění vč. venk. čidla  (dod.výr.kotle)</t>
  </si>
  <si>
    <t>Modul řízení kotlového čerpadla signálem 0-10 V   (dod. výrobce kotle)</t>
  </si>
  <si>
    <t>Modul regulace pro topný okruh   (dod. výrobce kotle)</t>
  </si>
  <si>
    <t>Kaskádový modul pro řazení kotlů vč. čidla anuloidu (dod. výrobce kotle)</t>
  </si>
  <si>
    <t>Ovládací display kotle (dod.výr.kotle)</t>
  </si>
  <si>
    <t>Montáž sání vzduchu a odkouření kondenzačního kotle</t>
  </si>
  <si>
    <t>Základní sada odkouření  DN110/160 s odtahem v šachtě (dod. výrobce kotle)</t>
  </si>
  <si>
    <t>Základní sada odkouření DN 80/125 pro oddělené sání (dod. výrobce kotle)</t>
  </si>
  <si>
    <t>Odkouření - trubka s hrdlem pr. 110 - 2 m</t>
  </si>
  <si>
    <t>Odkouření - trubka s hrdlem pr. 110 - 1 m</t>
  </si>
  <si>
    <t>Odkouření - koleno DN110 - 45°</t>
  </si>
  <si>
    <t>Trubka přívodního vzduchu DN125, 1000 mm</t>
  </si>
  <si>
    <t>Trubka přívodního vzduchu DN125, 2000 mm</t>
  </si>
  <si>
    <t>Odváděč kondenzátu ze sání DN80/125</t>
  </si>
  <si>
    <t>Trubka DN 80/125, 1000 mm</t>
  </si>
  <si>
    <t>Trubka DN110/160, 500 mm</t>
  </si>
  <si>
    <t>Koleno DN 80/125, 87°</t>
  </si>
  <si>
    <t>Instalace neutralizačního zařízení s čerpadlem kondenzátu</t>
  </si>
  <si>
    <t>Neutralizační box s čerp.a předfiltrem 230V/75 W do 800 kW, výtl.3,5m</t>
  </si>
  <si>
    <t>Náhradní náplň neutralizačního granulátu 12 kg</t>
  </si>
  <si>
    <t>Napuštění systému - oddíl kotelna</t>
  </si>
  <si>
    <t>Strojovny</t>
  </si>
  <si>
    <t>Vypuštění vody ze systému ÚV samospádem</t>
  </si>
  <si>
    <t>Vypuštění vody z exp. nádoby a potrubí čerpáním</t>
  </si>
  <si>
    <t>Odpojení nádrží 250 L od rozvodů potrubí a demontáž</t>
  </si>
  <si>
    <t>Demontáž čerpadel oběhových spirálních DN 25-40</t>
  </si>
  <si>
    <t>Sada termohydraulického rozdělovače - dod. výr.kotle</t>
  </si>
  <si>
    <t>1   výkon 2x100 kW, přiruby DN65, vč. izol. a jímky čidla</t>
  </si>
  <si>
    <t>Dod. a montáž nádoby expanzní tlakové 150 l / 6 bar, 1"</t>
  </si>
  <si>
    <t>Dod. a montáž nádoby expanzní tlakové 8 l / 6 bar, 3/4"</t>
  </si>
  <si>
    <t>Doplňovací automat REFLEX FILLCONTROL PLUS COMPACT + externí tlak.čidlo</t>
  </si>
  <si>
    <t>1   Přímá specifikace, jedná se o bezpečnostní prvek</t>
  </si>
  <si>
    <t>Odsolovací filtr Katex/anex, napojení 1", objem 25 L, plná demineralizace</t>
  </si>
  <si>
    <t>Napojovací sestava pro plnou demineralizaci -uzavírací arm., nerez hadice (1")</t>
  </si>
  <si>
    <t>Digitální měřič vodivosti s teplotní kompenzací</t>
  </si>
  <si>
    <t>Dávkovací čerpadlo inhibitoru koroze, proporcionální dávkování, zásobní nádrž</t>
  </si>
  <si>
    <t>1   vč. vodoměru pro řízení dávkování, vstřikovače, armatur, kontroly vyprázdnění, zásobní nádrže</t>
  </si>
  <si>
    <t>Inhibitor koroze Korrodex 332, balení 20 kg (přímá specif., bezpečnostní prvek)</t>
  </si>
  <si>
    <t>Demontáž čerpadel oběhových spirálních DN 40</t>
  </si>
  <si>
    <t>Demontáž čerpadel oběhových spirálních DN 25</t>
  </si>
  <si>
    <t>Oběh. čerp. DN25, 230V, 9-56W, PN6/10... 2,5 m3/hod // 30 kPa s řízením 0-10V</t>
  </si>
  <si>
    <t>Oběh. čerp. DN40 F, 230V, 17-265W, PN6/10... 17 m3/hod // 200 kPa s f-cí autoadapt</t>
  </si>
  <si>
    <t>Montáž čerpadel oběhových spirálních, DN 40 F</t>
  </si>
  <si>
    <t>Rozvod potrubí</t>
  </si>
  <si>
    <t>Demontáž potrubí z hladkých trubek D 76-110</t>
  </si>
  <si>
    <t>Demontáž potrubí ocelového závitového do DN 15-32</t>
  </si>
  <si>
    <t>Potrubí hladké bezešvé v kotelnách D 76 x 3,2 mm</t>
  </si>
  <si>
    <t>Potrubí závit. běžné svařované v kotelnách DN 50</t>
  </si>
  <si>
    <t>Potrubí závit. běžné svařované v kotelnách DN 40</t>
  </si>
  <si>
    <t>Potrubí závit. běžné svařované v kotelnách DN 25</t>
  </si>
  <si>
    <t>Potrubí závit. běžné svařované v kotelnách DN 20</t>
  </si>
  <si>
    <t>Potrubí závit. běžné svařované v kotelnách DN 15</t>
  </si>
  <si>
    <t>Armatury</t>
  </si>
  <si>
    <t>Demontáž armatur se 2závity do G 2 (filtry)</t>
  </si>
  <si>
    <t>Přírubový Y filtr s magnetickou vložkou, 2 příruby, PN 1,6, DN 50</t>
  </si>
  <si>
    <t>Mezipřírubová uzavírací klapka, PN 1,6, DN 50</t>
  </si>
  <si>
    <t>Kohout kulový DN40</t>
  </si>
  <si>
    <t>Kohout kulový DN 20</t>
  </si>
  <si>
    <t>Kohout kulový DN 15</t>
  </si>
  <si>
    <t>Kohout kulový s odv.2xvnitř.z.DN 25</t>
  </si>
  <si>
    <t>Kohout kulový s odv.2xvnitř.z.DN 20</t>
  </si>
  <si>
    <t>Kohout kulový s odv.2xvnitř.z.DN 15</t>
  </si>
  <si>
    <t>Klapka zpětná bezpružinová DN 40, bez demontovatelně čistitelná</t>
  </si>
  <si>
    <t>Klapka zpětná pružinová DN 25</t>
  </si>
  <si>
    <t>Ventil pojistný DN 15 / 8 bar</t>
  </si>
  <si>
    <t>Ventil pojistný DN 15 / 6 bar</t>
  </si>
  <si>
    <t>Šroubení DN 40</t>
  </si>
  <si>
    <t>Šroubení DN 25</t>
  </si>
  <si>
    <t>Šroubení DN 20</t>
  </si>
  <si>
    <t>Šroubení DN 15</t>
  </si>
  <si>
    <t>Šroubení 1" / 6/4" k čerpadlu DN25</t>
  </si>
  <si>
    <t>Tlakoměr deformační 0-600 kPa / 1,6 / D 160 + red na připojení 1/2"</t>
  </si>
  <si>
    <t>Tlakoměr deformační 0-1 MPa, D 63 připojení 1/2" (nebo redukce)</t>
  </si>
  <si>
    <t>Vodoměr bytový DN 15x80 mm, Qn 2,5</t>
  </si>
  <si>
    <t>Ventil odvzdušňovací automat. (počet cca)</t>
  </si>
  <si>
    <t>Kohout kulový výtokový  DN 15 (počet cca)</t>
  </si>
  <si>
    <t>Redukce G6/4" x G1"</t>
  </si>
  <si>
    <t>Fitink blíže nespecifikovaný (dvojsuvky a pod.)</t>
  </si>
  <si>
    <t>Přírubové spoje PN 0,6/I MPa, DN 65 (dodávka jen jedné příruby)</t>
  </si>
  <si>
    <t>Přírubové spoje PN 0,6/I MPa, DN 50 (dodávka jen jedné příruby)</t>
  </si>
  <si>
    <t>Přírubové spoje PN 0,6/I MPa, DN 40 (čerpadla), dod. 1 ks přírub</t>
  </si>
  <si>
    <t>Otopný systém</t>
  </si>
  <si>
    <t>2x proplach otopných těles + rozvodů + napušť. systému, prvotní odvzdušnění</t>
  </si>
  <si>
    <t>223   2 x proplach + napuštění systému s odvzdušněním</t>
  </si>
  <si>
    <t>Konstrukce tesařské</t>
  </si>
  <si>
    <t>Bednění - podstavec</t>
  </si>
  <si>
    <t>Demontáž bednění</t>
  </si>
  <si>
    <t>Konstrukce klempířské</t>
  </si>
  <si>
    <t>Plechová skřínka z lak. plechu uzavíratelná, min.rozměr 50x35x35 cm</t>
  </si>
  <si>
    <t>Konstrukce doplňkové stavební (zámečnické)</t>
  </si>
  <si>
    <t>Dod.+montáž samozavírače hydraulického</t>
  </si>
  <si>
    <t>Montáž oplocení z pletiva v.do 2,0 m,napínací drát</t>
  </si>
  <si>
    <t>28   Montáž pletiva na sloupky - ohrazení prostoru zásobníků</t>
  </si>
  <si>
    <t>Montáž oplocení - středového drátu</t>
  </si>
  <si>
    <t>28   Osazení středového drátu pro zpevnění pletiva.</t>
  </si>
  <si>
    <t>Montáž vrat na ocelové sloupky, plochy do 2 m2</t>
  </si>
  <si>
    <t>Poplastované pletivo 160 cm se zapleteným drátem, oko 50 mm</t>
  </si>
  <si>
    <t>28   Výška pletiva 160 cm, oko 50mm. Žárově zinkovaný drát průměr 1,7mm  a vč. poplastování 2,5 mm.</t>
  </si>
  <si>
    <t>Zapletený napínací drát (nahoře a dole) průměr 3,5mm, (z toho 2,5mm ocelové,   </t>
  </si>
  <si>
    <t>žárově zinkované jádro). Barva jedlová zeleň (RAL 6005).   </t>
  </si>
  <si>
    <t>Středový napínací drát poplastovaný</t>
  </si>
  <si>
    <t>28   Žárově zinkovaný poplastovaný drát průměru 3,5mm. Barva jedlová zeleň (RAL 6005).</t>
  </si>
  <si>
    <t>Napínák M6 oko-oko - pozinkovaná ocel</t>
  </si>
  <si>
    <t>6   Napnutí pletiva - nosných a zpevňujícího drátu</t>
  </si>
  <si>
    <t>Vstupní branka 160 cm, šířky 100 cm, uzamykatelná</t>
  </si>
  <si>
    <t>1   Branka výšky 160cm a šíře křídla 100cm, poplastovaná se zavíráním na kliku.</t>
  </si>
  <si>
    <t>Včetně kování a vložky FAB, vyplet 4-hranným (klasickým) pletivem 50 mm oka.   </t>
  </si>
  <si>
    <t>Celková šíře branky včetně sloupků cca 115 mm.   Barva jedlová zeleň (RAL 6005).</t>
  </si>
  <si>
    <t>Sloupky pantový a dorazový pr. 60 mm jsou součástí dodávky branky.   </t>
  </si>
  <si>
    <t>Montáž výstražné tabulky</t>
  </si>
  <si>
    <t>Výstražná tabulka</t>
  </si>
  <si>
    <t>Demontáž drátěného pletiva výšky do 1,4 m</t>
  </si>
  <si>
    <t>Napojení stávajícího oplocení na nové sloupky</t>
  </si>
  <si>
    <t>Výroba a montáž kov. atypických konstr. nad 500 kg - zastřešení</t>
  </si>
  <si>
    <t>Podlahy z dlaždic</t>
  </si>
  <si>
    <t>Podlaha, podstavec - keramická dlažba 20x20 cm</t>
  </si>
  <si>
    <t>3,29*4,5+(6,68-3,29)*(4,5+0,74)   Dod.dlažby není součástí položky</t>
  </si>
  <si>
    <t>Obklad soklíků hutných, rovných do MC, 20x20v20</t>
  </si>
  <si>
    <t>(1,6+0,55)*2   Dod.dlažby není součástí položky</t>
  </si>
  <si>
    <t>Provedení penetrace podkladu pod dlažby</t>
  </si>
  <si>
    <t>32,57+4,3*0,2   </t>
  </si>
  <si>
    <t>Dlažba keramická 200x200 (300x300) x9 mm</t>
  </si>
  <si>
    <t>(32,57+4,3*0,2)*1,08   8% odpad</t>
  </si>
  <si>
    <t>Keramický obklad 10 cm po obvodu u podlahy</t>
  </si>
  <si>
    <t>((4,5+6,68)*2+0,74*2)*0,1*1,08   8% odpad, vč. dod obkladu</t>
  </si>
  <si>
    <t>Nátěry</t>
  </si>
  <si>
    <t>Značení</t>
  </si>
  <si>
    <t>Nátěr syntetický potrubí do DN 50 mm  Z + 1x email</t>
  </si>
  <si>
    <t>Nátěr syntetický potrubí do DN 100 mm  Z + 1x email</t>
  </si>
  <si>
    <t>Nátěr syntet. potrubí do DN 50 mm  Z 2x +2x email</t>
  </si>
  <si>
    <t>Nátěr syntetický OK "A" základní (zastřešení zásobníků)</t>
  </si>
  <si>
    <t>Nátěr syntetický OK "A" 1x + 2x email  (zastřešení zásobníků)</t>
  </si>
  <si>
    <t>Bourání konstrukcí</t>
  </si>
  <si>
    <t>Bourání zdiva komínového z cihel (kouřovody)</t>
  </si>
  <si>
    <t>Vybourání okenních rámů, plochy do 1m2</t>
  </si>
  <si>
    <t>Bourání mazanin betonových tl. 10 cm, nad 4 m2</t>
  </si>
  <si>
    <t>Vybourání kovových dveřních zárubní pl. do 2 m2</t>
  </si>
  <si>
    <t>Bourání pilířů cihelných</t>
  </si>
  <si>
    <t>Bourání kovových nosníku z I profilů</t>
  </si>
  <si>
    <t>Malby</t>
  </si>
  <si>
    <t>Zakrytí podlah</t>
  </si>
  <si>
    <t>Malba klihová 1x,1barva, pačok 2x, místn. do 3,8 m</t>
  </si>
  <si>
    <t>((4,5+6,68)*2+0,74*2)*2,73+32,57   Stěny, strop</t>
  </si>
  <si>
    <t>Hasicí zařízení</t>
  </si>
  <si>
    <t>Dod. + osazení hasicího přístroje S5 vč.držáku</t>
  </si>
  <si>
    <t>Dod. + osazení hasicího přístroje práškového vč.držáku, hasící schopnost 34A</t>
  </si>
  <si>
    <t>Doplňující konstrukce a práce na pozemních komunikacích a zpevněných plochách</t>
  </si>
  <si>
    <t>Osazení ležat. obrub. bet. bez opěr,lože z C 12/15</t>
  </si>
  <si>
    <t>Obrubník parkový betonový 80x250x1000 mm</t>
  </si>
  <si>
    <t>Různé dokončovací konstrukce a práce inženýrských staveb</t>
  </si>
  <si>
    <t>Osazení doplňkových konstrukcí z ŽB do 0,5 t (panely) vč. dopravy</t>
  </si>
  <si>
    <t>Osazení zásobníků propanu na panely vč. dopravy</t>
  </si>
  <si>
    <t>Upevnění zásobníků propanu na chemické kotvy</t>
  </si>
  <si>
    <t>Prorážení otvorů a ostatní bourací práce</t>
  </si>
  <si>
    <t>Vrtání otvorů, zdi betonové, do 3 cm,  cca 45 cm</t>
  </si>
  <si>
    <t>Vybourání otvorů zdi betonové d = 6 cm, do 60 cm</t>
  </si>
  <si>
    <t>Vybourání otvorů zdi betonové 0,0225 m2, tl. cca 45 cm</t>
  </si>
  <si>
    <t>Vrtání otvorů, zdi / stropy betonové, do 3 cm, hl. do 60 cm</t>
  </si>
  <si>
    <t>Vrtání otvorů, zeď cihelná, do 3 cm, hl. do 45 cm</t>
  </si>
  <si>
    <t>Budovy občanské výstavby</t>
  </si>
  <si>
    <t>Přesun stavebních hmot  výšky do 6 m</t>
  </si>
  <si>
    <t>Nádrže a jímky čistíren vod a ostatní pozemní nádrže, jímky, zásobníky, jámy</t>
  </si>
  <si>
    <t>Přesun hmot, zásobníky propan 4850 L</t>
  </si>
  <si>
    <t>Objekty pozemní</t>
  </si>
  <si>
    <t>Přesun hmot, oplocení a zvláštní obj. zděné do 10m</t>
  </si>
  <si>
    <t>Komunikace pozemní a letiště</t>
  </si>
  <si>
    <t>Přesun hmot, pozemní komunikace, kryt dlážděný aj.</t>
  </si>
  <si>
    <t>Plochy a úpravy území</t>
  </si>
  <si>
    <t>Přesun hmot pro nástupiště a rampy</t>
  </si>
  <si>
    <t>Vedení trubní dálková a přípojná</t>
  </si>
  <si>
    <t>Přesun hmot, trubní vedení plastová / ocelová, otevř. výkop</t>
  </si>
  <si>
    <t>Vedení elektrická</t>
  </si>
  <si>
    <t>Přesun hmot elektro montážních prací</t>
  </si>
  <si>
    <t>Izolace tepelné</t>
  </si>
  <si>
    <t>Přesun hmot pro izolace tepelné, výšky do 6 m</t>
  </si>
  <si>
    <t>Přesun hmot pro vnitřní kanalizaci, výšky do 6 m</t>
  </si>
  <si>
    <t>Přesun hmot pro vnitřní vodovod, výšky do 6 m</t>
  </si>
  <si>
    <t>Přesun hmot pro vnitřní plynovod, výšky do 6 m</t>
  </si>
  <si>
    <t>Přesun hmot pro kotelny, výšky do 6 m</t>
  </si>
  <si>
    <t>Přesun hmot pro strojovny, výšky do 6 m</t>
  </si>
  <si>
    <t>Přesun hmot pro rozvody potrubí, výšky do 6 m</t>
  </si>
  <si>
    <t>Přesun hmot pro armatury, výšky do 6 m</t>
  </si>
  <si>
    <t>Šrotové hospodářství</t>
  </si>
  <si>
    <t>Nakladání šrotu na dopr. prostř., manipulace</t>
  </si>
  <si>
    <t>Odvoz šrotu do sběru</t>
  </si>
  <si>
    <t>Výtěžek z prodeje šrotu (záporná položka rozpočtu)</t>
  </si>
  <si>
    <t>Uvádění zařízení do provozu, seřízení</t>
  </si>
  <si>
    <t>Uvední kotle nad 50 kW do provozu, seřízení, vystavení protokolu</t>
  </si>
  <si>
    <t>Seřízení regulace, zkoušky  systému vč.simulace poruch.stavů, protokol</t>
  </si>
  <si>
    <t>Uvedení a seřízení do provozu doplňovacího automatu FILLCONTROL</t>
  </si>
  <si>
    <t>Uvedení do provozu demineralizačního zařízení a čerp.dávkování inhibitoru</t>
  </si>
  <si>
    <t>Zaučení obsluhy</t>
  </si>
  <si>
    <t>Finální podoba návrhu provozního řádu, dokumentace</t>
  </si>
  <si>
    <t>Elektromontáže</t>
  </si>
  <si>
    <t>Vedení uzemňovací na povrchu FeZn D 10 mm</t>
  </si>
  <si>
    <t>Vedení uzemňovací v zemi FeZn, D 10 mm</t>
  </si>
  <si>
    <t>Zemnič tyčový, upravený pro zemnění autocisterny, zaražení a připojení, do 2 m</t>
  </si>
  <si>
    <t>Svorka hromosvodová</t>
  </si>
  <si>
    <t>Svorka zemnící na potrubí včetně Cu pásku</t>
  </si>
  <si>
    <t>Rozvaděč na omítku 2X12P/SMD</t>
  </si>
  <si>
    <t>Hlavní vypínač dvoupolový červený, montáž na boku rozvaděče</t>
  </si>
  <si>
    <t>Jistič B6A na DIN lištu</t>
  </si>
  <si>
    <t>Jistič B16A na DIN lištu</t>
  </si>
  <si>
    <t>Proudový chránič s jističem 6A - B / 30 mA na DIN lištu</t>
  </si>
  <si>
    <t>Proudový chránič s jističem 13A - B / 30 mA na DIN lištu</t>
  </si>
  <si>
    <t>Kabel.žlab s integr.spojkou 35x100 mm bez víka, vč. příslušenství</t>
  </si>
  <si>
    <t>Kabel CYKY-m 750 V 3 x 2,5 mm2 pevně uložený (mat. vč. uložení)</t>
  </si>
  <si>
    <t>Kabel CYKY-m 3 x 1,5 mm2 pevně uložený (mat. vč. uložení)</t>
  </si>
  <si>
    <t>Kabel CYKY-m 4 x 1,5 mm2 pevně uložený (mat.vč. uložení)</t>
  </si>
  <si>
    <t>Kabel  JYTY 2 x 1 mm2 pevně uložený (mat.vč uložení)</t>
  </si>
  <si>
    <t>Montáž nástěnných modulů regulace z dod. výr. kotle</t>
  </si>
  <si>
    <t>Dopojení koncového zařízení (kotel, čerp., čidlo MaR, modul mimo rozváděč, světlo aj.)</t>
  </si>
  <si>
    <t>Detektor úniku plynu PROPAN typ ADDAT GS120 /230V</t>
  </si>
  <si>
    <t>   Přímá specifikace, jedná se o bezpečnostní prvek</t>
  </si>
  <si>
    <t>Drobný materiál (instalační krabice, hmoždinky, šrouby, lišty)</t>
  </si>
  <si>
    <t>Manostat minimálního (0,9 bar) tlaku v systému</t>
  </si>
  <si>
    <t>Manostat maximálního (2,8 bar) tlaku v systému</t>
  </si>
  <si>
    <t>Světlo nouzového osvětlení, samonabíjecí, záloha 60 minut</t>
  </si>
  <si>
    <t>Zásuvka domovní v krabici - provedení 2P+PE</t>
  </si>
  <si>
    <t>Vodič H07V-U (CY) 6 mm2 žlutozelený, uložený pevně</t>
  </si>
  <si>
    <t>Snímač zaplavení podlahy LD-12 (Jablotron)</t>
  </si>
  <si>
    <t>Vystrojení rozvaděče základními prvky (mimo osazení a zapojení jističů, vypínače)</t>
  </si>
  <si>
    <t>Modul automatického jištění kotelny AJK6 - ADDAT s.r.o</t>
  </si>
  <si>
    <t>Stykač 230 V 10-25 A na DIN lištu</t>
  </si>
  <si>
    <t>Elektroměr 0,025-45 A 230 V, ověřený, na DIN lištu</t>
  </si>
  <si>
    <t>Termostat přehřátí prostoru kotelny 40°C</t>
  </si>
  <si>
    <t>Detektor CO Honeywell XC100D-CS (přímá specifikace - bezpečnostní prvek)</t>
  </si>
  <si>
    <t>GSM modul + ext. anténa + SIM karta</t>
  </si>
  <si>
    <t>Štítek označovací na kabel</t>
  </si>
  <si>
    <t>Montáže potrubí plyn - venkovní část</t>
  </si>
  <si>
    <t>Dod. a uložení chráničky ve výkopu PE 63x3,0mm</t>
  </si>
  <si>
    <t>Dod. a montáž plynovodu PE40x3,7 SDR11, uložení do chráničky</t>
  </si>
  <si>
    <t>Elektrotvarovka PE40 SDR11 / ocel DN32</t>
  </si>
  <si>
    <t>Utěsnění chráničky manžetou DN 50 vč. dodávky manžet a spon</t>
  </si>
  <si>
    <t>Dod. a montáž teleskop.čichačky na plynovod DN 40 vč.plast.víčka</t>
  </si>
  <si>
    <t>Kohout kulový, vnitř.-vnitř.z. DN 25</t>
  </si>
  <si>
    <t>Ruční opláštění ovinem hliník/pet páskou za studena (ochrana před ÚV zářením) - 2 vrst.</t>
  </si>
  <si>
    <t>2*2*0,048   2 ks 2-násobný ovin chráničky a spoje potrubí 10 cm pod a 30 cm nad terénem</t>
  </si>
  <si>
    <t>Samolepící hliníková páska krytá PET fólií, š.48 mm</t>
  </si>
  <si>
    <t>2,0   2 x ovin chráničky a spoje potrubí 10 cm pod a 30 cm nad terénem</t>
  </si>
  <si>
    <t>Dod.+mont. tyče pro uchycení chráničky a potrubí vystupující nad terén</t>
  </si>
  <si>
    <t>Telemetrické měření stavu zásobníku dodavatele plynu (dot.cena, dod.dodav. plynu)</t>
  </si>
  <si>
    <t>Hadice flexi propoj zásobník/potrubí (dot.cena, dod.dodavatele plynu)</t>
  </si>
  <si>
    <t>Regulátor tlaku VTL/NTL 3,2 kPa/10-12 m3/hod vč. bezp.výstroje (dot.cena)</t>
  </si>
  <si>
    <t>Zemní práce při montážích</t>
  </si>
  <si>
    <t>Jáma pro patici sloupku, hor.2-4 pr. 150, hl. 800</t>
  </si>
  <si>
    <t>22   pr.0,15; hl. 0,8 m - sloupky a vzpěry oplocení, bez betonáže</t>
  </si>
  <si>
    <t>Jáma pro patici sloupku, hor.2-4 pr. 250 hl. 800</t>
  </si>
  <si>
    <t>6   pr.0,25; hl. 0,8 m - pro stojiny U140, bez betonáže</t>
  </si>
  <si>
    <t>Fólie výstražná z PVC, šířka 33 cm, barva žlutá</t>
  </si>
  <si>
    <t>Osazení zemní soupravy - poklop litinový + podkladní deska</t>
  </si>
  <si>
    <t>Zemní souprava šoupátková litinová, nápis plyn</t>
  </si>
  <si>
    <t>Deska nosná šoupátkového poklopu</t>
  </si>
  <si>
    <t>Bourání zpevněných povrchů (parkovací plocha v místě zásobníků)</t>
  </si>
  <si>
    <t>Osetí povrchu trávou</t>
  </si>
  <si>
    <t>Revize a zkoušky</t>
  </si>
  <si>
    <t>Certifikát posouzení sestavy tlakového zařízení notifik. osobou</t>
  </si>
  <si>
    <t>Revize TNS (tlakové nádoby stabilní - expanzní nádoby 150 L)</t>
  </si>
  <si>
    <t>Revize plynového zařízení</t>
  </si>
  <si>
    <t>Revize kouřových cest</t>
  </si>
  <si>
    <t>Revize elektro zařízení</t>
  </si>
  <si>
    <t>Kalibrace čidla  PROPAN a vystavení protokolu</t>
  </si>
  <si>
    <t>Topná zkouška 72 hod</t>
  </si>
  <si>
    <t>Odpadové hospodářství</t>
  </si>
  <si>
    <t>Vodorovná doprava vybouraných hmot a suti do 50 m</t>
  </si>
  <si>
    <t>Kontejner 3tuny, suť aj. bez nebezp.odpadu, odvoz a likvidace (2x3 t)</t>
  </si>
  <si>
    <t>Doba výstavby:</t>
  </si>
  <si>
    <t>Začátek výstavby:</t>
  </si>
  <si>
    <t>Konec výstavby:</t>
  </si>
  <si>
    <t>Zpracováno dne:</t>
  </si>
  <si>
    <t>19.10.2020</t>
  </si>
  <si>
    <t>MJ</t>
  </si>
  <si>
    <t>den</t>
  </si>
  <si>
    <t>ha</t>
  </si>
  <si>
    <t>hod</t>
  </si>
  <si>
    <t>m3</t>
  </si>
  <si>
    <t>t</t>
  </si>
  <si>
    <t>m2</t>
  </si>
  <si>
    <t>kus</t>
  </si>
  <si>
    <t>ks</t>
  </si>
  <si>
    <t>m</t>
  </si>
  <si>
    <t>soubor</t>
  </si>
  <si>
    <t>kg</t>
  </si>
  <si>
    <t>h</t>
  </si>
  <si>
    <t>km</t>
  </si>
  <si>
    <t>Množství</t>
  </si>
  <si>
    <t>Objednatel:</t>
  </si>
  <si>
    <t>Projektant:</t>
  </si>
  <si>
    <t>Zhotovitel:</t>
  </si>
  <si>
    <t>Zpracoval:</t>
  </si>
  <si>
    <t>Cena/MJ</t>
  </si>
  <si>
    <t>(Kč)</t>
  </si>
  <si>
    <t xml:space="preserve">Obec Doubrava,Doubrava č.p. 599, 735 33 Doubrava_x000D_
</t>
  </si>
  <si>
    <t>Ing. Stanislav Wilczek</t>
  </si>
  <si>
    <t> </t>
  </si>
  <si>
    <t>Náklady (Kč)</t>
  </si>
  <si>
    <t>Dodávka</t>
  </si>
  <si>
    <t>Celkem:</t>
  </si>
  <si>
    <t>Montáž</t>
  </si>
  <si>
    <t>Celkem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</si>
  <si>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</si>
  <si>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</si>
  <si>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</si>
  <si>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</si>
  <si>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</si>
  <si>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</si>
  <si>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</si>
  <si>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</si>
  <si>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</si>
  <si>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11_</t>
  </si>
  <si>
    <t>11VD_</t>
  </si>
  <si>
    <t>12_</t>
  </si>
  <si>
    <t>13_</t>
  </si>
  <si>
    <t>16_</t>
  </si>
  <si>
    <t>17_</t>
  </si>
  <si>
    <t>31_</t>
  </si>
  <si>
    <t>33_</t>
  </si>
  <si>
    <t>46_</t>
  </si>
  <si>
    <t>61_</t>
  </si>
  <si>
    <t>62_</t>
  </si>
  <si>
    <t>63_</t>
  </si>
  <si>
    <t>64_</t>
  </si>
  <si>
    <t>713_</t>
  </si>
  <si>
    <t>721_</t>
  </si>
  <si>
    <t>722_</t>
  </si>
  <si>
    <t>723_</t>
  </si>
  <si>
    <t>731_</t>
  </si>
  <si>
    <t>732_</t>
  </si>
  <si>
    <t>733_</t>
  </si>
  <si>
    <t>734_</t>
  </si>
  <si>
    <t>735_</t>
  </si>
  <si>
    <t>762_</t>
  </si>
  <si>
    <t>764_</t>
  </si>
  <si>
    <t>767_</t>
  </si>
  <si>
    <t>771_</t>
  </si>
  <si>
    <t>783_</t>
  </si>
  <si>
    <t>96_</t>
  </si>
  <si>
    <t>784_</t>
  </si>
  <si>
    <t>795_</t>
  </si>
  <si>
    <t>91_</t>
  </si>
  <si>
    <t>93_</t>
  </si>
  <si>
    <t>97_</t>
  </si>
  <si>
    <t>H01_</t>
  </si>
  <si>
    <t>H14_</t>
  </si>
  <si>
    <t>H15_</t>
  </si>
  <si>
    <t>H22_</t>
  </si>
  <si>
    <t>H23_</t>
  </si>
  <si>
    <t>H27_</t>
  </si>
  <si>
    <t>H28_</t>
  </si>
  <si>
    <t>H713_</t>
  </si>
  <si>
    <t>H721_</t>
  </si>
  <si>
    <t>H722_</t>
  </si>
  <si>
    <t>H723_</t>
  </si>
  <si>
    <t>H731_</t>
  </si>
  <si>
    <t>H732_</t>
  </si>
  <si>
    <t>H733_</t>
  </si>
  <si>
    <t>H734_</t>
  </si>
  <si>
    <t>H77VD_</t>
  </si>
  <si>
    <t>M06VD_</t>
  </si>
  <si>
    <t>M21_</t>
  </si>
  <si>
    <t>M23_</t>
  </si>
  <si>
    <t>M46_</t>
  </si>
  <si>
    <t>M72VD_</t>
  </si>
  <si>
    <t>S_</t>
  </si>
  <si>
    <t>1_</t>
  </si>
  <si>
    <t>3_</t>
  </si>
  <si>
    <t>4_</t>
  </si>
  <si>
    <t>6_</t>
  </si>
  <si>
    <t>71_</t>
  </si>
  <si>
    <t>72_</t>
  </si>
  <si>
    <t>73_</t>
  </si>
  <si>
    <t>76_</t>
  </si>
  <si>
    <t>77_</t>
  </si>
  <si>
    <t>78_</t>
  </si>
  <si>
    <t>9_</t>
  </si>
  <si>
    <t>79_</t>
  </si>
  <si>
    <t>_</t>
  </si>
  <si>
    <t>MAT</t>
  </si>
  <si>
    <t>WORK</t>
  </si>
  <si>
    <t>CELK</t>
  </si>
  <si>
    <t>ISWORK</t>
  </si>
  <si>
    <t>P</t>
  </si>
  <si>
    <t>M</t>
  </si>
  <si>
    <t>GROUPCODE</t>
  </si>
  <si>
    <t>Slepý stavební rozpočet - rekapitulace</t>
  </si>
  <si>
    <t>Náklady (Kč) - dodávka</t>
  </si>
  <si>
    <t>Náklady (Kč) - Montáž</t>
  </si>
  <si>
    <t>Náklady (Kč) - celkem</t>
  </si>
  <si>
    <t>T</t>
  </si>
  <si>
    <t>Soupis stavebních prací dodávek a služeb s výkazem výměr</t>
  </si>
  <si>
    <t>Potřebné množství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</si>
  <si>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</si>
  <si>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</si>
  <si>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</si>
  <si>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</si>
  <si>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</si>
  <si>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</si>
  <si>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</si>
  <si>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</si>
  <si>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</si>
  <si>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</si>
  <si>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</si>
  <si>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</si>
  <si>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</si>
  <si>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</si>
  <si>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</si>
  <si>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slepého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</si>
  <si>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</si>
  <si>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</si>
  <si>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</si>
  <si>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</si>
  <si>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</si>
  <si>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</si>
  <si>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</si>
  <si>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</si>
  <si>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</si>
  <si>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</si>
  <si>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</si>
  <si>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</si>
  <si>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</si>
  <si>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</si>
  <si>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</si>
  <si>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</si>
  <si>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</si>
  <si>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</si>
  <si>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</si>
  <si>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</si>
  <si>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</si>
  <si>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</si>
  <si>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</si>
  <si>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</si>
  <si>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</si>
  <si>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</si>
  <si>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</si>
  <si>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</si>
  <si>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Vedlejší rozpočtové náklady VRN</t>
  </si>
  <si>
    <t>Doplňkové náklady DN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</si>
  <si>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</si>
  <si>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</si>
  <si>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</si>
  <si>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</si>
  <si>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</si>
  <si>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</si>
  <si>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Vedlejší a ostatní rozpočtové náklady</t>
  </si>
  <si>
    <t>Kč</t>
  </si>
  <si>
    <t>%</t>
  </si>
  <si>
    <t>Základna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</si>
</sst>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color indexed="8"/>
      <name val="Arial"/>
      <charset val="238"/>
    </font>
    <font>
      <sz val="18"/>
      <color indexed="8"/>
      <name val="Arial"/>
      <charset val="238"/>
    </font>
    <font>
      <b/>
      <sz val="10"/>
      <color indexed="8"/>
      <name val="Arial"/>
      <charset val="238"/>
    </font>
    <font>
      <sz val="10"/>
      <color indexed="56"/>
      <name val="Arial"/>
      <charset val="238"/>
    </font>
    <font>
      <sz val="10"/>
      <color indexed="61"/>
      <name val="Arial"/>
      <charset val="238"/>
    </font>
    <font>
      <sz val="10"/>
      <color indexed="62"/>
      <name val="Arial"/>
      <charset val="238"/>
    </font>
    <font>
      <i/>
      <sz val="8"/>
      <color indexed="8"/>
      <name val="Arial"/>
      <charset val="238"/>
    </font>
    <font>
      <b/>
      <sz val="10"/>
      <color indexed="56"/>
      <name val="Arial"/>
      <charset val="238"/>
    </font>
    <font>
      <i/>
      <sz val="10"/>
      <color indexed="63"/>
      <name val="Arial"/>
      <charset val="238"/>
    </font>
    <font>
      <i/>
      <sz val="9"/>
      <color indexed="61"/>
      <name val="Arial"/>
      <charset val="238"/>
    </font>
    <font>
      <i/>
      <sz val="9"/>
      <color indexed="62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2"/>
      <color indexed="8"/>
      <name val="Arial"/>
      <charset val="238"/>
    </font>
    <font>
      <sz val="12"/>
      <color indexed="8"/>
      <name val="Arial"/>
      <charset val="238"/>
    </font>
    <font>
      <b/>
      <sz val="11"/>
      <color indexed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1" fillId="0" borderId="0" xfId="0" applyFont="1" applyAlignment="1">
      <alignment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vertical="center"/>
    </xf>
    <xf numFmtId="49" fontId="4" fillId="2" borderId="3" xfId="0" applyNumberFormat="1" applyFont="1" applyFill="1" applyBorder="1" applyAlignment="1" applyProtection="1">
      <alignment horizontal="left"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49" fontId="5" fillId="0" borderId="8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left" vertical="center"/>
    </xf>
    <xf numFmtId="49" fontId="1" fillId="0" borderId="12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4" fillId="2" borderId="13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49" fontId="3" fillId="0" borderId="16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3" fillId="0" borderId="2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right" vertical="center"/>
    </xf>
    <xf numFmtId="49" fontId="5" fillId="0" borderId="25" xfId="0" applyNumberFormat="1" applyFont="1" applyFill="1" applyBorder="1" applyAlignment="1" applyProtection="1">
      <alignment horizontal="right" vertical="center"/>
    </xf>
    <xf numFmtId="0" fontId="1" fillId="0" borderId="25" xfId="0" applyNumberFormat="1" applyFont="1" applyFill="1" applyBorder="1" applyAlignment="1" applyProtection="1">
      <alignment vertical="center"/>
    </xf>
    <xf numFmtId="49" fontId="8" fillId="2" borderId="25" xfId="0" applyNumberFormat="1" applyFont="1" applyFill="1" applyBorder="1" applyAlignment="1" applyProtection="1">
      <alignment horizontal="right" vertical="center"/>
    </xf>
    <xf numFmtId="49" fontId="6" fillId="0" borderId="25" xfId="0" applyNumberFormat="1" applyFont="1" applyFill="1" applyBorder="1" applyAlignment="1" applyProtection="1">
      <alignment horizontal="right" vertical="center"/>
    </xf>
    <xf numFmtId="0" fontId="1" fillId="0" borderId="27" xfId="0" applyNumberFormat="1" applyFont="1" applyFill="1" applyBorder="1" applyAlignment="1" applyProtection="1">
      <alignment vertical="center"/>
    </xf>
    <xf numFmtId="49" fontId="8" fillId="2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right" vertical="center"/>
    </xf>
    <xf numFmtId="4" fontId="8" fillId="2" borderId="13" xfId="0" applyNumberFormat="1" applyFont="1" applyFill="1" applyBorder="1" applyAlignment="1" applyProtection="1">
      <alignment horizontal="right" vertical="center"/>
    </xf>
    <xf numFmtId="4" fontId="8" fillId="2" borderId="0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/>
    </xf>
    <xf numFmtId="49" fontId="3" fillId="0" borderId="28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left" vertical="center"/>
    </xf>
    <xf numFmtId="49" fontId="3" fillId="0" borderId="3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" fontId="1" fillId="0" borderId="13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left" vertical="center"/>
    </xf>
    <xf numFmtId="49" fontId="3" fillId="0" borderId="31" xfId="0" applyNumberFormat="1" applyFont="1" applyFill="1" applyBorder="1" applyAlignment="1" applyProtection="1">
      <alignment horizontal="left" vertical="center"/>
    </xf>
    <xf numFmtId="49" fontId="3" fillId="0" borderId="31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Fill="1" applyBorder="1" applyAlignment="1" applyProtection="1">
      <alignment horizontal="right" vertical="center"/>
    </xf>
    <xf numFmtId="4" fontId="11" fillId="0" borderId="0" xfId="0" applyNumberFormat="1" applyFont="1" applyFill="1" applyBorder="1" applyAlignment="1" applyProtection="1">
      <alignment horizontal="right" vertical="center"/>
    </xf>
    <xf numFmtId="49" fontId="3" fillId="0" borderId="32" xfId="0" applyNumberFormat="1" applyFont="1" applyFill="1" applyBorder="1" applyAlignment="1" applyProtection="1">
      <alignment horizontal="left" vertical="center"/>
    </xf>
    <xf numFmtId="4" fontId="5" fillId="0" borderId="25" xfId="0" applyNumberFormat="1" applyFont="1" applyFill="1" applyBorder="1" applyAlignment="1" applyProtection="1">
      <alignment horizontal="right" vertical="center"/>
    </xf>
    <xf numFmtId="4" fontId="6" fillId="0" borderId="25" xfId="0" applyNumberFormat="1" applyFont="1" applyFill="1" applyBorder="1" applyAlignment="1" applyProtection="1">
      <alignment horizontal="right" vertical="center"/>
    </xf>
    <xf numFmtId="4" fontId="5" fillId="0" borderId="26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49" fontId="13" fillId="3" borderId="34" xfId="0" applyNumberFormat="1" applyFont="1" applyFill="1" applyBorder="1" applyAlignment="1" applyProtection="1">
      <alignment horizontal="center" vertical="center"/>
    </xf>
    <xf numFmtId="49" fontId="14" fillId="0" borderId="35" xfId="0" applyNumberFormat="1" applyFont="1" applyFill="1" applyBorder="1" applyAlignment="1" applyProtection="1">
      <alignment horizontal="left" vertical="center"/>
    </xf>
    <xf numFmtId="49" fontId="14" fillId="0" borderId="36" xfId="0" applyNumberFormat="1" applyFont="1" applyFill="1" applyBorder="1" applyAlignment="1" applyProtection="1">
      <alignment horizontal="left" vertical="center"/>
    </xf>
    <xf numFmtId="0" fontId="1" fillId="0" borderId="38" xfId="0" applyNumberFormat="1" applyFont="1" applyFill="1" applyBorder="1" applyAlignment="1" applyProtection="1">
      <alignment vertical="center"/>
    </xf>
    <xf numFmtId="49" fontId="7" fillId="0" borderId="13" xfId="0" applyNumberFormat="1" applyFont="1" applyFill="1" applyBorder="1" applyAlignment="1" applyProtection="1">
      <alignment horizontal="left" vertical="center"/>
    </xf>
    <xf numFmtId="49" fontId="15" fillId="0" borderId="34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vertical="center"/>
    </xf>
    <xf numFmtId="4" fontId="15" fillId="0" borderId="34" xfId="0" applyNumberFormat="1" applyFont="1" applyFill="1" applyBorder="1" applyAlignment="1" applyProtection="1">
      <alignment horizontal="right" vertical="center"/>
    </xf>
    <xf numFmtId="49" fontId="15" fillId="0" borderId="34" xfId="0" applyNumberFormat="1" applyFont="1" applyFill="1" applyBorder="1" applyAlignment="1" applyProtection="1">
      <alignment horizontal="right" vertical="center"/>
    </xf>
    <xf numFmtId="4" fontId="15" fillId="0" borderId="21" xfId="0" applyNumberFormat="1" applyFont="1" applyFill="1" applyBorder="1" applyAlignment="1" applyProtection="1">
      <alignment horizontal="right" vertical="center"/>
    </xf>
    <xf numFmtId="0" fontId="1" fillId="0" borderId="14" xfId="0" applyNumberFormat="1" applyFont="1" applyFill="1" applyBorder="1" applyAlignment="1" applyProtection="1">
      <alignment vertical="center"/>
    </xf>
    <xf numFmtId="4" fontId="14" fillId="3" borderId="41" xfId="0" applyNumberFormat="1" applyFont="1" applyFill="1" applyBorder="1" applyAlignment="1" applyProtection="1">
      <alignment horizontal="right" vertical="center"/>
    </xf>
    <xf numFmtId="0" fontId="1" fillId="0" borderId="47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49" fontId="3" fillId="0" borderId="50" xfId="0" applyNumberFormat="1" applyFont="1" applyFill="1" applyBorder="1" applyAlignment="1" applyProtection="1">
      <alignment horizontal="right" vertical="center"/>
    </xf>
    <xf numFmtId="4" fontId="1" fillId="0" borderId="34" xfId="0" applyNumberFormat="1" applyFont="1" applyFill="1" applyBorder="1" applyAlignment="1" applyProtection="1">
      <alignment horizontal="right" vertical="center"/>
    </xf>
    <xf numFmtId="4" fontId="1" fillId="0" borderId="21" xfId="0" applyNumberFormat="1" applyFont="1" applyFill="1" applyBorder="1" applyAlignment="1" applyProtection="1">
      <alignment horizontal="right" vertical="center"/>
    </xf>
    <xf numFmtId="49" fontId="3" fillId="0" borderId="51" xfId="0" applyNumberFormat="1" applyFont="1" applyFill="1" applyBorder="1" applyAlignment="1" applyProtection="1">
      <alignment horizontal="left" vertical="center"/>
    </xf>
    <xf numFmtId="49" fontId="1" fillId="0" borderId="34" xfId="0" applyNumberFormat="1" applyFont="1" applyFill="1" applyBorder="1" applyAlignment="1" applyProtection="1">
      <alignment horizontal="left" vertical="center"/>
    </xf>
    <xf numFmtId="49" fontId="1" fillId="0" borderId="21" xfId="0" applyNumberFormat="1" applyFont="1" applyFill="1" applyBorder="1" applyAlignment="1" applyProtection="1">
      <alignment horizontal="left" vertical="center"/>
    </xf>
    <xf numFmtId="49" fontId="3" fillId="0" borderId="51" xfId="0" applyNumberFormat="1" applyFont="1" applyFill="1" applyBorder="1" applyAlignment="1" applyProtection="1">
      <alignment horizontal="right" vertical="center"/>
    </xf>
    <xf numFmtId="4" fontId="3" fillId="0" borderId="5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24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3" fillId="0" borderId="15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0" fontId="8" fillId="2" borderId="13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49" fontId="3" fillId="0" borderId="9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49" fontId="3" fillId="0" borderId="29" xfId="0" applyNumberFormat="1" applyFont="1" applyFill="1" applyBorder="1" applyAlignment="1" applyProtection="1">
      <alignment horizontal="left" vertical="center"/>
    </xf>
    <xf numFmtId="0" fontId="3" fillId="0" borderId="30" xfId="0" applyNumberFormat="1" applyFont="1" applyFill="1" applyBorder="1" applyAlignment="1" applyProtection="1">
      <alignment horizontal="left" vertical="center"/>
    </xf>
    <xf numFmtId="49" fontId="1" fillId="0" borderId="13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24" xfId="0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Fill="1" applyBorder="1" applyAlignment="1" applyProtection="1">
      <alignment horizontal="left" vertical="center" wrapText="1"/>
    </xf>
    <xf numFmtId="0" fontId="1" fillId="0" borderId="26" xfId="0" applyNumberFormat="1" applyFont="1" applyFill="1" applyBorder="1" applyAlignment="1" applyProtection="1">
      <alignment horizontal="left" vertical="center"/>
    </xf>
    <xf numFmtId="49" fontId="12" fillId="0" borderId="33" xfId="0" applyNumberFormat="1" applyFont="1" applyFill="1" applyBorder="1" applyAlignment="1" applyProtection="1">
      <alignment horizontal="center" vertical="center"/>
    </xf>
    <xf numFmtId="0" fontId="12" fillId="0" borderId="33" xfId="0" applyNumberFormat="1" applyFont="1" applyFill="1" applyBorder="1" applyAlignment="1" applyProtection="1">
      <alignment horizontal="center" vertical="center"/>
    </xf>
    <xf numFmtId="49" fontId="16" fillId="0" borderId="37" xfId="0" applyNumberFormat="1" applyFont="1" applyFill="1" applyBorder="1" applyAlignment="1" applyProtection="1">
      <alignment horizontal="left" vertical="center"/>
    </xf>
    <xf numFmtId="0" fontId="16" fillId="0" borderId="41" xfId="0" applyNumberFormat="1" applyFont="1" applyFill="1" applyBorder="1" applyAlignment="1" applyProtection="1">
      <alignment horizontal="left" vertical="center"/>
    </xf>
    <xf numFmtId="49" fontId="15" fillId="0" borderId="37" xfId="0" applyNumberFormat="1" applyFont="1" applyFill="1" applyBorder="1" applyAlignment="1" applyProtection="1">
      <alignment horizontal="left" vertical="center"/>
    </xf>
    <xf numFmtId="0" fontId="15" fillId="0" borderId="41" xfId="0" applyNumberFormat="1" applyFont="1" applyFill="1" applyBorder="1" applyAlignment="1" applyProtection="1">
      <alignment horizontal="left" vertical="center"/>
    </xf>
    <xf numFmtId="49" fontId="14" fillId="0" borderId="37" xfId="0" applyNumberFormat="1" applyFont="1" applyFill="1" applyBorder="1" applyAlignment="1" applyProtection="1">
      <alignment horizontal="left" vertical="center"/>
    </xf>
    <xf numFmtId="0" fontId="14" fillId="0" borderId="41" xfId="0" applyNumberFormat="1" applyFont="1" applyFill="1" applyBorder="1" applyAlignment="1" applyProtection="1">
      <alignment horizontal="left" vertical="center"/>
    </xf>
    <xf numFmtId="49" fontId="14" fillId="3" borderId="37" xfId="0" applyNumberFormat="1" applyFont="1" applyFill="1" applyBorder="1" applyAlignment="1" applyProtection="1">
      <alignment horizontal="left" vertical="center"/>
    </xf>
    <xf numFmtId="0" fontId="14" fillId="3" borderId="33" xfId="0" applyNumberFormat="1" applyFont="1" applyFill="1" applyBorder="1" applyAlignment="1" applyProtection="1">
      <alignment horizontal="left" vertical="center"/>
    </xf>
    <xf numFmtId="49" fontId="15" fillId="0" borderId="39" xfId="0" applyNumberFormat="1" applyFont="1" applyFill="1" applyBorder="1" applyAlignment="1" applyProtection="1">
      <alignment horizontal="left" vertical="center"/>
    </xf>
    <xf numFmtId="0" fontId="15" fillId="0" borderId="13" xfId="0" applyNumberFormat="1" applyFont="1" applyFill="1" applyBorder="1" applyAlignment="1" applyProtection="1">
      <alignment horizontal="left" vertical="center"/>
    </xf>
    <xf numFmtId="0" fontId="15" fillId="0" borderId="42" xfId="0" applyNumberFormat="1" applyFont="1" applyFill="1" applyBorder="1" applyAlignment="1" applyProtection="1">
      <alignment horizontal="left" vertical="center"/>
    </xf>
    <xf numFmtId="49" fontId="15" fillId="0" borderId="27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43" xfId="0" applyNumberFormat="1" applyFont="1" applyFill="1" applyBorder="1" applyAlignment="1" applyProtection="1">
      <alignment horizontal="left" vertical="center"/>
    </xf>
    <xf numFmtId="49" fontId="15" fillId="0" borderId="40" xfId="0" applyNumberFormat="1" applyFont="1" applyFill="1" applyBorder="1" applyAlignment="1" applyProtection="1">
      <alignment horizontal="left" vertical="center"/>
    </xf>
    <xf numFmtId="0" fontId="15" fillId="0" borderId="10" xfId="0" applyNumberFormat="1" applyFont="1" applyFill="1" applyBorder="1" applyAlignment="1" applyProtection="1">
      <alignment horizontal="left" vertical="center"/>
    </xf>
    <xf numFmtId="0" fontId="15" fillId="0" borderId="44" xfId="0" applyNumberFormat="1" applyFont="1" applyFill="1" applyBorder="1" applyAlignment="1" applyProtection="1">
      <alignment horizontal="left" vertical="center"/>
    </xf>
    <xf numFmtId="49" fontId="14" fillId="0" borderId="10" xfId="0" applyNumberFormat="1" applyFont="1" applyFill="1" applyBorder="1" applyAlignment="1" applyProtection="1">
      <alignment horizontal="left" vertical="center"/>
    </xf>
    <xf numFmtId="0" fontId="14" fillId="0" borderId="10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left" vertical="center"/>
    </xf>
    <xf numFmtId="0" fontId="3" fillId="0" borderId="20" xfId="0" applyNumberFormat="1" applyFont="1" applyFill="1" applyBorder="1" applyAlignment="1" applyProtection="1">
      <alignment horizontal="left" vertical="center"/>
    </xf>
    <xf numFmtId="0" fontId="3" fillId="0" borderId="22" xfId="0" applyNumberFormat="1" applyFont="1" applyFill="1" applyBorder="1" applyAlignment="1" applyProtection="1">
      <alignment horizontal="left" vertical="center"/>
    </xf>
    <xf numFmtId="49" fontId="1" fillId="0" borderId="37" xfId="0" applyNumberFormat="1" applyFont="1" applyFill="1" applyBorder="1" applyAlignment="1" applyProtection="1">
      <alignment horizontal="left" vertical="center"/>
    </xf>
    <xf numFmtId="0" fontId="1" fillId="0" borderId="33" xfId="0" applyNumberFormat="1" applyFont="1" applyFill="1" applyBorder="1" applyAlignment="1" applyProtection="1">
      <alignment horizontal="left" vertical="center"/>
    </xf>
    <xf numFmtId="0" fontId="1" fillId="0" borderId="41" xfId="0" applyNumberFormat="1" applyFont="1" applyFill="1" applyBorder="1" applyAlignment="1" applyProtection="1">
      <alignment horizontal="left" vertical="center"/>
    </xf>
    <xf numFmtId="49" fontId="1" fillId="0" borderId="45" xfId="0" applyNumberFormat="1" applyFont="1" applyFill="1" applyBorder="1" applyAlignment="1" applyProtection="1">
      <alignment horizontal="left" vertical="center"/>
    </xf>
    <xf numFmtId="0" fontId="1" fillId="0" borderId="38" xfId="0" applyNumberFormat="1" applyFont="1" applyFill="1" applyBorder="1" applyAlignment="1" applyProtection="1">
      <alignment horizontal="left" vertical="center"/>
    </xf>
    <xf numFmtId="0" fontId="1" fillId="0" borderId="48" xfId="0" applyNumberFormat="1" applyFont="1" applyFill="1" applyBorder="1" applyAlignment="1" applyProtection="1">
      <alignment horizontal="left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0" fontId="3" fillId="0" borderId="47" xfId="0" applyNumberFormat="1" applyFont="1" applyFill="1" applyBorder="1" applyAlignment="1" applyProtection="1">
      <alignment horizontal="left" vertical="center"/>
    </xf>
    <xf numFmtId="0" fontId="3" fillId="0" borderId="49" xfId="0" applyNumberFormat="1" applyFont="1" applyFill="1" applyBorder="1" applyAlignment="1" applyProtection="1">
      <alignment horizontal="left" vertical="center"/>
    </xf>
    <xf numFmtId="49" fontId="14" fillId="0" borderId="46" xfId="0" applyNumberFormat="1" applyFont="1" applyFill="1" applyBorder="1" applyAlignment="1" applyProtection="1">
      <alignment horizontal="left" vertical="center"/>
    </xf>
    <xf numFmtId="0" fontId="14" fillId="0" borderId="47" xfId="0" applyNumberFormat="1" applyFont="1" applyFill="1" applyBorder="1" applyAlignment="1" applyProtection="1">
      <alignment horizontal="left" vertical="center"/>
    </xf>
    <xf numFmtId="0" fontId="14" fillId="0" borderId="49" xfId="0" applyNumberFormat="1" applyFont="1" applyFill="1" applyBorder="1" applyAlignment="1" applyProtection="1">
      <alignment horizontal="left" vertical="center"/>
    </xf>
    <xf numFmtId="4" fontId="14" fillId="0" borderId="46" xfId="0" applyNumberFormat="1" applyFont="1" applyFill="1" applyBorder="1" applyAlignment="1" applyProtection="1">
      <alignment horizontal="right" vertical="center"/>
    </xf>
    <xf numFmtId="0" fontId="14" fillId="0" borderId="47" xfId="0" applyNumberFormat="1" applyFont="1" applyFill="1" applyBorder="1" applyAlignment="1" applyProtection="1">
      <alignment horizontal="right" vertical="center"/>
    </xf>
    <xf numFmtId="0" fontId="14" fillId="0" borderId="49" xfId="0" applyNumberFormat="1" applyFont="1" applyFill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678180</xdr:colOff>
      <xdr:row>0</xdr:row>
      <xdr:rowOff>891540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964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891540</xdr:colOff>
      <xdr:row>0</xdr:row>
      <xdr:rowOff>891540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891540</xdr:colOff>
      <xdr:row>0</xdr:row>
      <xdr:rowOff>891540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289560</xdr:colOff>
      <xdr:row>0</xdr:row>
      <xdr:rowOff>891540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289560</xdr:colOff>
      <xdr:row>0</xdr:row>
      <xdr:rowOff>891540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16"/>
  <sheetViews>
    <sheetView workbookViewId="0">
      <pane ySplit="11" topLeftCell="A12" activePane="bottomLeft" state="frozenSplit"/>
      <selection pane="bottomLeft" sqref="A1:K1"/>
    </sheetView>
  </sheetViews>
  <sheetFormatPr defaultColWidth="11.5546875" defaultRowHeight="13.2" x14ac:dyDescent="0.25"/>
  <cols>
    <col min="1" max="1" width="3.6640625" customWidth="1"/>
    <col min="2" max="2" width="14.33203125" customWidth="1"/>
    <col min="3" max="3" width="86.77734375" customWidth="1"/>
    <col min="6" max="6" width="6.44140625" customWidth="1"/>
    <col min="7" max="7" width="12.88671875" customWidth="1"/>
    <col min="8" max="8" width="12" customWidth="1"/>
    <col min="9" max="11" width="14.33203125" customWidth="1"/>
    <col min="24" max="63" width="12.109375" hidden="1" customWidth="1"/>
  </cols>
  <sheetData>
    <row r="1" spans="1:63" ht="73.05" customHeight="1" x14ac:dyDescent="0.4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63" x14ac:dyDescent="0.25">
      <c r="A2" s="90" t="s">
        <v>1</v>
      </c>
      <c r="B2" s="91"/>
      <c r="C2" s="94" t="s">
        <v>616</v>
      </c>
      <c r="D2" s="96" t="s">
        <v>1012</v>
      </c>
      <c r="E2" s="91"/>
      <c r="F2" s="96" t="s">
        <v>6</v>
      </c>
      <c r="G2" s="91"/>
      <c r="H2" s="97" t="s">
        <v>1032</v>
      </c>
      <c r="I2" s="97" t="s">
        <v>1038</v>
      </c>
      <c r="J2" s="91"/>
      <c r="K2" s="91"/>
      <c r="L2" s="5"/>
    </row>
    <row r="3" spans="1:63" x14ac:dyDescent="0.25">
      <c r="A3" s="92"/>
      <c r="B3" s="93"/>
      <c r="C3" s="95"/>
      <c r="D3" s="93"/>
      <c r="E3" s="93"/>
      <c r="F3" s="93"/>
      <c r="G3" s="93"/>
      <c r="H3" s="93"/>
      <c r="I3" s="93"/>
      <c r="J3" s="93"/>
      <c r="K3" s="93"/>
      <c r="L3" s="5"/>
    </row>
    <row r="4" spans="1:63" x14ac:dyDescent="0.25">
      <c r="A4" s="100" t="s">
        <v>2</v>
      </c>
      <c r="B4" s="93"/>
      <c r="C4" s="101" t="s">
        <v>617</v>
      </c>
      <c r="D4" s="102" t="s">
        <v>1013</v>
      </c>
      <c r="E4" s="93"/>
      <c r="F4" s="102" t="s">
        <v>6</v>
      </c>
      <c r="G4" s="93"/>
      <c r="H4" s="101" t="s">
        <v>1033</v>
      </c>
      <c r="I4" s="101" t="s">
        <v>1039</v>
      </c>
      <c r="J4" s="93"/>
      <c r="K4" s="93"/>
      <c r="L4" s="5"/>
    </row>
    <row r="5" spans="1:63" x14ac:dyDescent="0.25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5"/>
    </row>
    <row r="6" spans="1:63" x14ac:dyDescent="0.25">
      <c r="A6" s="100" t="s">
        <v>3</v>
      </c>
      <c r="B6" s="93"/>
      <c r="C6" s="101" t="s">
        <v>618</v>
      </c>
      <c r="D6" s="102" t="s">
        <v>1014</v>
      </c>
      <c r="E6" s="93"/>
      <c r="F6" s="102" t="s">
        <v>6</v>
      </c>
      <c r="G6" s="93"/>
      <c r="H6" s="101" t="s">
        <v>1034</v>
      </c>
      <c r="I6" s="102" t="s">
        <v>1040</v>
      </c>
      <c r="J6" s="93"/>
      <c r="K6" s="93"/>
      <c r="L6" s="5"/>
    </row>
    <row r="7" spans="1:63" x14ac:dyDescent="0.25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5"/>
    </row>
    <row r="8" spans="1:63" x14ac:dyDescent="0.25">
      <c r="A8" s="100" t="s">
        <v>4</v>
      </c>
      <c r="B8" s="93"/>
      <c r="C8" s="101">
        <v>8013212</v>
      </c>
      <c r="D8" s="102" t="s">
        <v>1015</v>
      </c>
      <c r="E8" s="93"/>
      <c r="F8" s="102" t="s">
        <v>1016</v>
      </c>
      <c r="G8" s="93"/>
      <c r="H8" s="101" t="s">
        <v>1035</v>
      </c>
      <c r="I8" s="101" t="s">
        <v>1039</v>
      </c>
      <c r="J8" s="93"/>
      <c r="K8" s="93"/>
      <c r="L8" s="5"/>
    </row>
    <row r="9" spans="1:63" x14ac:dyDescent="0.25">
      <c r="A9" s="10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5"/>
    </row>
    <row r="10" spans="1:63" x14ac:dyDescent="0.25">
      <c r="A10" s="1" t="s">
        <v>5</v>
      </c>
      <c r="B10" s="11" t="s">
        <v>302</v>
      </c>
      <c r="C10" s="106" t="s">
        <v>619</v>
      </c>
      <c r="D10" s="107"/>
      <c r="E10" s="108"/>
      <c r="F10" s="11" t="s">
        <v>1017</v>
      </c>
      <c r="G10" s="20" t="s">
        <v>1031</v>
      </c>
      <c r="H10" s="25" t="s">
        <v>1036</v>
      </c>
      <c r="I10" s="109" t="s">
        <v>1041</v>
      </c>
      <c r="J10" s="110"/>
      <c r="K10" s="111"/>
      <c r="L10" s="35"/>
      <c r="BJ10" s="36" t="s">
        <v>1126</v>
      </c>
      <c r="BK10" s="41" t="s">
        <v>1129</v>
      </c>
    </row>
    <row r="11" spans="1:63" x14ac:dyDescent="0.25">
      <c r="A11" s="2" t="s">
        <v>6</v>
      </c>
      <c r="B11" s="12" t="s">
        <v>6</v>
      </c>
      <c r="C11" s="112" t="s">
        <v>620</v>
      </c>
      <c r="D11" s="113"/>
      <c r="E11" s="114"/>
      <c r="F11" s="12" t="s">
        <v>6</v>
      </c>
      <c r="G11" s="12" t="s">
        <v>6</v>
      </c>
      <c r="H11" s="26" t="s">
        <v>1037</v>
      </c>
      <c r="I11" s="27" t="s">
        <v>1042</v>
      </c>
      <c r="J11" s="28" t="s">
        <v>1044</v>
      </c>
      <c r="K11" s="29" t="s">
        <v>1045</v>
      </c>
      <c r="L11" s="35"/>
      <c r="Y11" s="36" t="s">
        <v>1046</v>
      </c>
      <c r="Z11" s="36" t="s">
        <v>1047</v>
      </c>
      <c r="AA11" s="36" t="s">
        <v>1048</v>
      </c>
      <c r="AB11" s="36" t="s">
        <v>1049</v>
      </c>
      <c r="AC11" s="36" t="s">
        <v>1050</v>
      </c>
      <c r="AD11" s="36" t="s">
        <v>1051</v>
      </c>
      <c r="AE11" s="36" t="s">
        <v>1052</v>
      </c>
      <c r="AF11" s="36" t="s">
        <v>1053</v>
      </c>
      <c r="AG11" s="36" t="s">
        <v>1054</v>
      </c>
      <c r="BG11" s="36" t="s">
        <v>1123</v>
      </c>
      <c r="BH11" s="36" t="s">
        <v>1124</v>
      </c>
      <c r="BI11" s="36" t="s">
        <v>1125</v>
      </c>
    </row>
    <row r="12" spans="1:63" x14ac:dyDescent="0.25">
      <c r="A12" s="3"/>
      <c r="B12" s="13" t="s">
        <v>17</v>
      </c>
      <c r="C12" s="115" t="s">
        <v>621</v>
      </c>
      <c r="D12" s="116"/>
      <c r="E12" s="116"/>
      <c r="F12" s="18" t="s">
        <v>6</v>
      </c>
      <c r="G12" s="18" t="s">
        <v>6</v>
      </c>
      <c r="H12" s="18" t="s">
        <v>6</v>
      </c>
      <c r="I12" s="42">
        <f>SUM(I13:I15)</f>
        <v>0</v>
      </c>
      <c r="J12" s="42">
        <f>SUM(J13:J15)</f>
        <v>0</v>
      </c>
      <c r="K12" s="42">
        <f>SUM(K13:K15)</f>
        <v>0</v>
      </c>
      <c r="L12" s="5"/>
      <c r="AH12" s="36"/>
      <c r="AR12" s="43">
        <f>SUM(AI13:AI15)</f>
        <v>0</v>
      </c>
      <c r="AS12" s="43">
        <f>SUM(AJ13:AJ15)</f>
        <v>0</v>
      </c>
      <c r="AT12" s="43">
        <f>SUM(AK13:AK15)</f>
        <v>0</v>
      </c>
    </row>
    <row r="13" spans="1:63" x14ac:dyDescent="0.25">
      <c r="A13" s="4" t="s">
        <v>7</v>
      </c>
      <c r="B13" s="14" t="s">
        <v>303</v>
      </c>
      <c r="C13" s="117" t="s">
        <v>622</v>
      </c>
      <c r="D13" s="118"/>
      <c r="E13" s="118"/>
      <c r="F13" s="14" t="s">
        <v>1018</v>
      </c>
      <c r="G13" s="21">
        <v>5</v>
      </c>
      <c r="H13" s="21">
        <v>0</v>
      </c>
      <c r="I13" s="21">
        <f>G13*AN13</f>
        <v>0</v>
      </c>
      <c r="J13" s="21">
        <f>G13*AO13</f>
        <v>0</v>
      </c>
      <c r="K13" s="21">
        <f>G13*H13</f>
        <v>0</v>
      </c>
      <c r="L13" s="5"/>
      <c r="Y13" s="37">
        <f>IF(AP13="5",BI13,0)</f>
        <v>0</v>
      </c>
      <c r="AA13" s="37">
        <f>IF(AP13="1",BG13,0)</f>
        <v>0</v>
      </c>
      <c r="AB13" s="37">
        <f>IF(AP13="1",BH13,0)</f>
        <v>0</v>
      </c>
      <c r="AC13" s="37">
        <f>IF(AP13="7",BG13,0)</f>
        <v>0</v>
      </c>
      <c r="AD13" s="37">
        <f>IF(AP13="7",BH13,0)</f>
        <v>0</v>
      </c>
      <c r="AE13" s="37">
        <f>IF(AP13="2",BG13,0)</f>
        <v>0</v>
      </c>
      <c r="AF13" s="37">
        <f>IF(AP13="2",BH13,0)</f>
        <v>0</v>
      </c>
      <c r="AG13" s="37">
        <f>IF(AP13="0",BI13,0)</f>
        <v>0</v>
      </c>
      <c r="AH13" s="36"/>
      <c r="AI13" s="21">
        <f>IF(AM13=0,K13,0)</f>
        <v>0</v>
      </c>
      <c r="AJ13" s="21">
        <f>IF(AM13=15,K13,0)</f>
        <v>0</v>
      </c>
      <c r="AK13" s="21">
        <f>IF(AM13=21,K13,0)</f>
        <v>0</v>
      </c>
      <c r="AM13" s="37">
        <v>21</v>
      </c>
      <c r="AN13" s="37">
        <f>H13*0</f>
        <v>0</v>
      </c>
      <c r="AO13" s="37">
        <f>H13*(1-0)</f>
        <v>0</v>
      </c>
      <c r="AP13" s="38" t="s">
        <v>7</v>
      </c>
      <c r="AU13" s="37">
        <f>AV13+AW13</f>
        <v>0</v>
      </c>
      <c r="AV13" s="37">
        <f>G13*AN13</f>
        <v>0</v>
      </c>
      <c r="AW13" s="37">
        <f>G13*AO13</f>
        <v>0</v>
      </c>
      <c r="AX13" s="40" t="s">
        <v>1055</v>
      </c>
      <c r="AY13" s="40" t="s">
        <v>1110</v>
      </c>
      <c r="AZ13" s="36" t="s">
        <v>1122</v>
      </c>
      <c r="BB13" s="37">
        <f>AV13+AW13</f>
        <v>0</v>
      </c>
      <c r="BC13" s="37">
        <f>H13/(100-BD13)*100</f>
        <v>0</v>
      </c>
      <c r="BD13" s="37">
        <v>0</v>
      </c>
      <c r="BE13" s="37">
        <f>13</f>
        <v>13</v>
      </c>
      <c r="BG13" s="21">
        <f>G13*AN13</f>
        <v>0</v>
      </c>
      <c r="BH13" s="21">
        <f>G13*AO13</f>
        <v>0</v>
      </c>
      <c r="BI13" s="21">
        <f>G13*H13</f>
        <v>0</v>
      </c>
      <c r="BJ13" s="21" t="s">
        <v>1127</v>
      </c>
      <c r="BK13" s="37">
        <v>11</v>
      </c>
    </row>
    <row r="14" spans="1:63" x14ac:dyDescent="0.25">
      <c r="A14" s="5"/>
      <c r="C14" s="119" t="s">
        <v>623</v>
      </c>
      <c r="D14" s="120"/>
      <c r="E14" s="120"/>
      <c r="G14" s="22">
        <v>0</v>
      </c>
      <c r="L14" s="5"/>
    </row>
    <row r="15" spans="1:63" x14ac:dyDescent="0.25">
      <c r="A15" s="4" t="s">
        <v>8</v>
      </c>
      <c r="B15" s="14" t="s">
        <v>304</v>
      </c>
      <c r="C15" s="117" t="s">
        <v>624</v>
      </c>
      <c r="D15" s="118"/>
      <c r="E15" s="118"/>
      <c r="F15" s="14" t="s">
        <v>1019</v>
      </c>
      <c r="G15" s="21">
        <v>0.01</v>
      </c>
      <c r="H15" s="21">
        <v>0</v>
      </c>
      <c r="I15" s="21">
        <f>G15*AN15</f>
        <v>0</v>
      </c>
      <c r="J15" s="21">
        <f>G15*AO15</f>
        <v>0</v>
      </c>
      <c r="K15" s="21">
        <f>G15*H15</f>
        <v>0</v>
      </c>
      <c r="L15" s="5"/>
      <c r="Y15" s="37">
        <f>IF(AP15="5",BI15,0)</f>
        <v>0</v>
      </c>
      <c r="AA15" s="37">
        <f>IF(AP15="1",BG15,0)</f>
        <v>0</v>
      </c>
      <c r="AB15" s="37">
        <f>IF(AP15="1",BH15,0)</f>
        <v>0</v>
      </c>
      <c r="AC15" s="37">
        <f>IF(AP15="7",BG15,0)</f>
        <v>0</v>
      </c>
      <c r="AD15" s="37">
        <f>IF(AP15="7",BH15,0)</f>
        <v>0</v>
      </c>
      <c r="AE15" s="37">
        <f>IF(AP15="2",BG15,0)</f>
        <v>0</v>
      </c>
      <c r="AF15" s="37">
        <f>IF(AP15="2",BH15,0)</f>
        <v>0</v>
      </c>
      <c r="AG15" s="37">
        <f>IF(AP15="0",BI15,0)</f>
        <v>0</v>
      </c>
      <c r="AH15" s="36"/>
      <c r="AI15" s="21">
        <f>IF(AM15=0,K15,0)</f>
        <v>0</v>
      </c>
      <c r="AJ15" s="21">
        <f>IF(AM15=15,K15,0)</f>
        <v>0</v>
      </c>
      <c r="AK15" s="21">
        <f>IF(AM15=21,K15,0)</f>
        <v>0</v>
      </c>
      <c r="AM15" s="37">
        <v>21</v>
      </c>
      <c r="AN15" s="37">
        <f>H15*0</f>
        <v>0</v>
      </c>
      <c r="AO15" s="37">
        <f>H15*(1-0)</f>
        <v>0</v>
      </c>
      <c r="AP15" s="38" t="s">
        <v>7</v>
      </c>
      <c r="AU15" s="37">
        <f>AV15+AW15</f>
        <v>0</v>
      </c>
      <c r="AV15" s="37">
        <f>G15*AN15</f>
        <v>0</v>
      </c>
      <c r="AW15" s="37">
        <f>G15*AO15</f>
        <v>0</v>
      </c>
      <c r="AX15" s="40" t="s">
        <v>1055</v>
      </c>
      <c r="AY15" s="40" t="s">
        <v>1110</v>
      </c>
      <c r="AZ15" s="36" t="s">
        <v>1122</v>
      </c>
      <c r="BB15" s="37">
        <f>AV15+AW15</f>
        <v>0</v>
      </c>
      <c r="BC15" s="37">
        <f>H15/(100-BD15)*100</f>
        <v>0</v>
      </c>
      <c r="BD15" s="37">
        <v>0</v>
      </c>
      <c r="BE15" s="37">
        <f>15</f>
        <v>15</v>
      </c>
      <c r="BG15" s="21">
        <f>G15*AN15</f>
        <v>0</v>
      </c>
      <c r="BH15" s="21">
        <f>G15*AO15</f>
        <v>0</v>
      </c>
      <c r="BI15" s="21">
        <f>G15*H15</f>
        <v>0</v>
      </c>
      <c r="BJ15" s="21" t="s">
        <v>1127</v>
      </c>
      <c r="BK15" s="37">
        <v>11</v>
      </c>
    </row>
    <row r="16" spans="1:63" x14ac:dyDescent="0.25">
      <c r="A16" s="6"/>
      <c r="B16" s="15" t="s">
        <v>305</v>
      </c>
      <c r="C16" s="121" t="s">
        <v>625</v>
      </c>
      <c r="D16" s="122"/>
      <c r="E16" s="122"/>
      <c r="F16" s="19" t="s">
        <v>6</v>
      </c>
      <c r="G16" s="19" t="s">
        <v>6</v>
      </c>
      <c r="H16" s="19" t="s">
        <v>6</v>
      </c>
      <c r="I16" s="43">
        <f>SUM(I17:I17)</f>
        <v>0</v>
      </c>
      <c r="J16" s="43">
        <f>SUM(J17:J17)</f>
        <v>0</v>
      </c>
      <c r="K16" s="43">
        <f>SUM(K17:K17)</f>
        <v>0</v>
      </c>
      <c r="L16" s="5"/>
      <c r="AH16" s="36"/>
      <c r="AR16" s="43">
        <f>SUM(AI17:AI17)</f>
        <v>0</v>
      </c>
      <c r="AS16" s="43">
        <f>SUM(AJ17:AJ17)</f>
        <v>0</v>
      </c>
      <c r="AT16" s="43">
        <f>SUM(AK17:AK17)</f>
        <v>0</v>
      </c>
    </row>
    <row r="17" spans="1:63" x14ac:dyDescent="0.25">
      <c r="A17" s="4" t="s">
        <v>9</v>
      </c>
      <c r="B17" s="14" t="s">
        <v>306</v>
      </c>
      <c r="C17" s="117" t="s">
        <v>626</v>
      </c>
      <c r="D17" s="118"/>
      <c r="E17" s="118"/>
      <c r="F17" s="14" t="s">
        <v>1020</v>
      </c>
      <c r="G17" s="21">
        <v>16</v>
      </c>
      <c r="H17" s="21">
        <v>0</v>
      </c>
      <c r="I17" s="21">
        <f>G17*AN17</f>
        <v>0</v>
      </c>
      <c r="J17" s="21">
        <f>G17*AO17</f>
        <v>0</v>
      </c>
      <c r="K17" s="21">
        <f>G17*H17</f>
        <v>0</v>
      </c>
      <c r="L17" s="5"/>
      <c r="Y17" s="37">
        <f>IF(AP17="5",BI17,0)</f>
        <v>0</v>
      </c>
      <c r="AA17" s="37">
        <f>IF(AP17="1",BG17,0)</f>
        <v>0</v>
      </c>
      <c r="AB17" s="37">
        <f>IF(AP17="1",BH17,0)</f>
        <v>0</v>
      </c>
      <c r="AC17" s="37">
        <f>IF(AP17="7",BG17,0)</f>
        <v>0</v>
      </c>
      <c r="AD17" s="37">
        <f>IF(AP17="7",BH17,0)</f>
        <v>0</v>
      </c>
      <c r="AE17" s="37">
        <f>IF(AP17="2",BG17,0)</f>
        <v>0</v>
      </c>
      <c r="AF17" s="37">
        <f>IF(AP17="2",BH17,0)</f>
        <v>0</v>
      </c>
      <c r="AG17" s="37">
        <f>IF(AP17="0",BI17,0)</f>
        <v>0</v>
      </c>
      <c r="AH17" s="36"/>
      <c r="AI17" s="21">
        <f>IF(AM17=0,K17,0)</f>
        <v>0</v>
      </c>
      <c r="AJ17" s="21">
        <f>IF(AM17=15,K17,0)</f>
        <v>0</v>
      </c>
      <c r="AK17" s="21">
        <f>IF(AM17=21,K17,0)</f>
        <v>0</v>
      </c>
      <c r="AM17" s="37">
        <v>21</v>
      </c>
      <c r="AN17" s="37">
        <f>H17*0</f>
        <v>0</v>
      </c>
      <c r="AO17" s="37">
        <f>H17*(1-0)</f>
        <v>0</v>
      </c>
      <c r="AP17" s="38" t="s">
        <v>7</v>
      </c>
      <c r="AU17" s="37">
        <f>AV17+AW17</f>
        <v>0</v>
      </c>
      <c r="AV17" s="37">
        <f>G17*AN17</f>
        <v>0</v>
      </c>
      <c r="AW17" s="37">
        <f>G17*AO17</f>
        <v>0</v>
      </c>
      <c r="AX17" s="40" t="s">
        <v>1056</v>
      </c>
      <c r="AY17" s="40" t="s">
        <v>1110</v>
      </c>
      <c r="AZ17" s="36" t="s">
        <v>1122</v>
      </c>
      <c r="BB17" s="37">
        <f>AV17+AW17</f>
        <v>0</v>
      </c>
      <c r="BC17" s="37">
        <f>H17/(100-BD17)*100</f>
        <v>0</v>
      </c>
      <c r="BD17" s="37">
        <v>0</v>
      </c>
      <c r="BE17" s="37">
        <f>17</f>
        <v>17</v>
      </c>
      <c r="BG17" s="21">
        <f>G17*AN17</f>
        <v>0</v>
      </c>
      <c r="BH17" s="21">
        <f>G17*AO17</f>
        <v>0</v>
      </c>
      <c r="BI17" s="21">
        <f>G17*H17</f>
        <v>0</v>
      </c>
      <c r="BJ17" s="21" t="s">
        <v>1127</v>
      </c>
      <c r="BK17" s="37" t="s">
        <v>305</v>
      </c>
    </row>
    <row r="18" spans="1:63" x14ac:dyDescent="0.25">
      <c r="A18" s="6"/>
      <c r="B18" s="15" t="s">
        <v>18</v>
      </c>
      <c r="C18" s="121" t="s">
        <v>627</v>
      </c>
      <c r="D18" s="122"/>
      <c r="E18" s="122"/>
      <c r="F18" s="19" t="s">
        <v>6</v>
      </c>
      <c r="G18" s="19" t="s">
        <v>6</v>
      </c>
      <c r="H18" s="19" t="s">
        <v>6</v>
      </c>
      <c r="I18" s="43">
        <f>SUM(I19:I21)</f>
        <v>0</v>
      </c>
      <c r="J18" s="43">
        <f>SUM(J19:J21)</f>
        <v>0</v>
      </c>
      <c r="K18" s="43">
        <f>SUM(K19:K21)</f>
        <v>0</v>
      </c>
      <c r="L18" s="5"/>
      <c r="AH18" s="36"/>
      <c r="AR18" s="43">
        <f>SUM(AI19:AI21)</f>
        <v>0</v>
      </c>
      <c r="AS18" s="43">
        <f>SUM(AJ19:AJ21)</f>
        <v>0</v>
      </c>
      <c r="AT18" s="43">
        <f>SUM(AK19:AK21)</f>
        <v>0</v>
      </c>
    </row>
    <row r="19" spans="1:63" x14ac:dyDescent="0.25">
      <c r="A19" s="4" t="s">
        <v>10</v>
      </c>
      <c r="B19" s="14" t="s">
        <v>307</v>
      </c>
      <c r="C19" s="117" t="s">
        <v>628</v>
      </c>
      <c r="D19" s="118"/>
      <c r="E19" s="118"/>
      <c r="F19" s="14" t="s">
        <v>1021</v>
      </c>
      <c r="G19" s="21">
        <v>3.68</v>
      </c>
      <c r="H19" s="21">
        <v>0</v>
      </c>
      <c r="I19" s="21">
        <f>G19*AN19</f>
        <v>0</v>
      </c>
      <c r="J19" s="21">
        <f>G19*AO19</f>
        <v>0</v>
      </c>
      <c r="K19" s="21">
        <f>G19*H19</f>
        <v>0</v>
      </c>
      <c r="L19" s="5"/>
      <c r="Y19" s="37">
        <f>IF(AP19="5",BI19,0)</f>
        <v>0</v>
      </c>
      <c r="AA19" s="37">
        <f>IF(AP19="1",BG19,0)</f>
        <v>0</v>
      </c>
      <c r="AB19" s="37">
        <f>IF(AP19="1",BH19,0)</f>
        <v>0</v>
      </c>
      <c r="AC19" s="37">
        <f>IF(AP19="7",BG19,0)</f>
        <v>0</v>
      </c>
      <c r="AD19" s="37">
        <f>IF(AP19="7",BH19,0)</f>
        <v>0</v>
      </c>
      <c r="AE19" s="37">
        <f>IF(AP19="2",BG19,0)</f>
        <v>0</v>
      </c>
      <c r="AF19" s="37">
        <f>IF(AP19="2",BH19,0)</f>
        <v>0</v>
      </c>
      <c r="AG19" s="37">
        <f>IF(AP19="0",BI19,0)</f>
        <v>0</v>
      </c>
      <c r="AH19" s="36"/>
      <c r="AI19" s="21">
        <f>IF(AM19=0,K19,0)</f>
        <v>0</v>
      </c>
      <c r="AJ19" s="21">
        <f>IF(AM19=15,K19,0)</f>
        <v>0</v>
      </c>
      <c r="AK19" s="21">
        <f>IF(AM19=21,K19,0)</f>
        <v>0</v>
      </c>
      <c r="AM19" s="37">
        <v>21</v>
      </c>
      <c r="AN19" s="37">
        <f>H19*0</f>
        <v>0</v>
      </c>
      <c r="AO19" s="37">
        <f>H19*(1-0)</f>
        <v>0</v>
      </c>
      <c r="AP19" s="38" t="s">
        <v>7</v>
      </c>
      <c r="AU19" s="37">
        <f>AV19+AW19</f>
        <v>0</v>
      </c>
      <c r="AV19" s="37">
        <f>G19*AN19</f>
        <v>0</v>
      </c>
      <c r="AW19" s="37">
        <f>G19*AO19</f>
        <v>0</v>
      </c>
      <c r="AX19" s="40" t="s">
        <v>1057</v>
      </c>
      <c r="AY19" s="40" t="s">
        <v>1110</v>
      </c>
      <c r="AZ19" s="36" t="s">
        <v>1122</v>
      </c>
      <c r="BB19" s="37">
        <f>AV19+AW19</f>
        <v>0</v>
      </c>
      <c r="BC19" s="37">
        <f>H19/(100-BD19)*100</f>
        <v>0</v>
      </c>
      <c r="BD19" s="37">
        <v>0</v>
      </c>
      <c r="BE19" s="37">
        <f>19</f>
        <v>19</v>
      </c>
      <c r="BG19" s="21">
        <f>G19*AN19</f>
        <v>0</v>
      </c>
      <c r="BH19" s="21">
        <f>G19*AO19</f>
        <v>0</v>
      </c>
      <c r="BI19" s="21">
        <f>G19*H19</f>
        <v>0</v>
      </c>
      <c r="BJ19" s="21" t="s">
        <v>1127</v>
      </c>
      <c r="BK19" s="37">
        <v>12</v>
      </c>
    </row>
    <row r="20" spans="1:63" x14ac:dyDescent="0.25">
      <c r="A20" s="5"/>
      <c r="C20" s="119" t="s">
        <v>629</v>
      </c>
      <c r="D20" s="120"/>
      <c r="E20" s="120"/>
      <c r="G20" s="22">
        <v>3.68</v>
      </c>
      <c r="L20" s="5"/>
    </row>
    <row r="21" spans="1:63" x14ac:dyDescent="0.25">
      <c r="A21" s="4" t="s">
        <v>11</v>
      </c>
      <c r="B21" s="14" t="s">
        <v>308</v>
      </c>
      <c r="C21" s="117" t="s">
        <v>630</v>
      </c>
      <c r="D21" s="118"/>
      <c r="E21" s="118"/>
      <c r="F21" s="14" t="s">
        <v>1021</v>
      </c>
      <c r="G21" s="21">
        <v>9.3000000000000007</v>
      </c>
      <c r="H21" s="21">
        <v>0</v>
      </c>
      <c r="I21" s="21">
        <f>G21*AN21</f>
        <v>0</v>
      </c>
      <c r="J21" s="21">
        <f>G21*AO21</f>
        <v>0</v>
      </c>
      <c r="K21" s="21">
        <f>G21*H21</f>
        <v>0</v>
      </c>
      <c r="L21" s="5"/>
      <c r="Y21" s="37">
        <f>IF(AP21="5",BI21,0)</f>
        <v>0</v>
      </c>
      <c r="AA21" s="37">
        <f>IF(AP21="1",BG21,0)</f>
        <v>0</v>
      </c>
      <c r="AB21" s="37">
        <f>IF(AP21="1",BH21,0)</f>
        <v>0</v>
      </c>
      <c r="AC21" s="37">
        <f>IF(AP21="7",BG21,0)</f>
        <v>0</v>
      </c>
      <c r="AD21" s="37">
        <f>IF(AP21="7",BH21,0)</f>
        <v>0</v>
      </c>
      <c r="AE21" s="37">
        <f>IF(AP21="2",BG21,0)</f>
        <v>0</v>
      </c>
      <c r="AF21" s="37">
        <f>IF(AP21="2",BH21,0)</f>
        <v>0</v>
      </c>
      <c r="AG21" s="37">
        <f>IF(AP21="0",BI21,0)</f>
        <v>0</v>
      </c>
      <c r="AH21" s="36"/>
      <c r="AI21" s="21">
        <f>IF(AM21=0,K21,0)</f>
        <v>0</v>
      </c>
      <c r="AJ21" s="21">
        <f>IF(AM21=15,K21,0)</f>
        <v>0</v>
      </c>
      <c r="AK21" s="21">
        <f>IF(AM21=21,K21,0)</f>
        <v>0</v>
      </c>
      <c r="AM21" s="37">
        <v>21</v>
      </c>
      <c r="AN21" s="37">
        <f>H21*0</f>
        <v>0</v>
      </c>
      <c r="AO21" s="37">
        <f>H21*(1-0)</f>
        <v>0</v>
      </c>
      <c r="AP21" s="38" t="s">
        <v>7</v>
      </c>
      <c r="AU21" s="37">
        <f>AV21+AW21</f>
        <v>0</v>
      </c>
      <c r="AV21" s="37">
        <f>G21*AN21</f>
        <v>0</v>
      </c>
      <c r="AW21" s="37">
        <f>G21*AO21</f>
        <v>0</v>
      </c>
      <c r="AX21" s="40" t="s">
        <v>1057</v>
      </c>
      <c r="AY21" s="40" t="s">
        <v>1110</v>
      </c>
      <c r="AZ21" s="36" t="s">
        <v>1122</v>
      </c>
      <c r="BB21" s="37">
        <f>AV21+AW21</f>
        <v>0</v>
      </c>
      <c r="BC21" s="37">
        <f>H21/(100-BD21)*100</f>
        <v>0</v>
      </c>
      <c r="BD21" s="37">
        <v>0</v>
      </c>
      <c r="BE21" s="37">
        <f>21</f>
        <v>21</v>
      </c>
      <c r="BG21" s="21">
        <f>G21*AN21</f>
        <v>0</v>
      </c>
      <c r="BH21" s="21">
        <f>G21*AO21</f>
        <v>0</v>
      </c>
      <c r="BI21" s="21">
        <f>G21*H21</f>
        <v>0</v>
      </c>
      <c r="BJ21" s="21" t="s">
        <v>1127</v>
      </c>
      <c r="BK21" s="37">
        <v>12</v>
      </c>
    </row>
    <row r="22" spans="1:63" x14ac:dyDescent="0.25">
      <c r="A22" s="5"/>
      <c r="C22" s="119" t="s">
        <v>631</v>
      </c>
      <c r="D22" s="120"/>
      <c r="E22" s="120"/>
      <c r="G22" s="22">
        <v>9.3000000000000007</v>
      </c>
      <c r="L22" s="5"/>
    </row>
    <row r="23" spans="1:63" x14ac:dyDescent="0.25">
      <c r="A23" s="6"/>
      <c r="B23" s="15" t="s">
        <v>19</v>
      </c>
      <c r="C23" s="121" t="s">
        <v>632</v>
      </c>
      <c r="D23" s="122"/>
      <c r="E23" s="122"/>
      <c r="F23" s="19" t="s">
        <v>6</v>
      </c>
      <c r="G23" s="19" t="s">
        <v>6</v>
      </c>
      <c r="H23" s="19" t="s">
        <v>6</v>
      </c>
      <c r="I23" s="43">
        <f>SUM(I24:I24)</f>
        <v>0</v>
      </c>
      <c r="J23" s="43">
        <f>SUM(J24:J24)</f>
        <v>0</v>
      </c>
      <c r="K23" s="43">
        <f>SUM(K24:K24)</f>
        <v>0</v>
      </c>
      <c r="L23" s="5"/>
      <c r="AH23" s="36"/>
      <c r="AR23" s="43">
        <f>SUM(AI24:AI24)</f>
        <v>0</v>
      </c>
      <c r="AS23" s="43">
        <f>SUM(AJ24:AJ24)</f>
        <v>0</v>
      </c>
      <c r="AT23" s="43">
        <f>SUM(AK24:AK24)</f>
        <v>0</v>
      </c>
    </row>
    <row r="24" spans="1:63" x14ac:dyDescent="0.25">
      <c r="A24" s="4" t="s">
        <v>12</v>
      </c>
      <c r="B24" s="14" t="s">
        <v>309</v>
      </c>
      <c r="C24" s="117" t="s">
        <v>633</v>
      </c>
      <c r="D24" s="118"/>
      <c r="E24" s="118"/>
      <c r="F24" s="14" t="s">
        <v>1021</v>
      </c>
      <c r="G24" s="21">
        <v>4.0199999999999996</v>
      </c>
      <c r="H24" s="21">
        <v>0</v>
      </c>
      <c r="I24" s="21">
        <f>G24*AN24</f>
        <v>0</v>
      </c>
      <c r="J24" s="21">
        <f>G24*AO24</f>
        <v>0</v>
      </c>
      <c r="K24" s="21">
        <f>G24*H24</f>
        <v>0</v>
      </c>
      <c r="L24" s="5"/>
      <c r="Y24" s="37">
        <f>IF(AP24="5",BI24,0)</f>
        <v>0</v>
      </c>
      <c r="AA24" s="37">
        <f>IF(AP24="1",BG24,0)</f>
        <v>0</v>
      </c>
      <c r="AB24" s="37">
        <f>IF(AP24="1",BH24,0)</f>
        <v>0</v>
      </c>
      <c r="AC24" s="37">
        <f>IF(AP24="7",BG24,0)</f>
        <v>0</v>
      </c>
      <c r="AD24" s="37">
        <f>IF(AP24="7",BH24,0)</f>
        <v>0</v>
      </c>
      <c r="AE24" s="37">
        <f>IF(AP24="2",BG24,0)</f>
        <v>0</v>
      </c>
      <c r="AF24" s="37">
        <f>IF(AP24="2",BH24,0)</f>
        <v>0</v>
      </c>
      <c r="AG24" s="37">
        <f>IF(AP24="0",BI24,0)</f>
        <v>0</v>
      </c>
      <c r="AH24" s="36"/>
      <c r="AI24" s="21">
        <f>IF(AM24=0,K24,0)</f>
        <v>0</v>
      </c>
      <c r="AJ24" s="21">
        <f>IF(AM24=15,K24,0)</f>
        <v>0</v>
      </c>
      <c r="AK24" s="21">
        <f>IF(AM24=21,K24,0)</f>
        <v>0</v>
      </c>
      <c r="AM24" s="37">
        <v>21</v>
      </c>
      <c r="AN24" s="37">
        <f>H24*0</f>
        <v>0</v>
      </c>
      <c r="AO24" s="37">
        <f>H24*(1-0)</f>
        <v>0</v>
      </c>
      <c r="AP24" s="38" t="s">
        <v>7</v>
      </c>
      <c r="AU24" s="37">
        <f>AV24+AW24</f>
        <v>0</v>
      </c>
      <c r="AV24" s="37">
        <f>G24*AN24</f>
        <v>0</v>
      </c>
      <c r="AW24" s="37">
        <f>G24*AO24</f>
        <v>0</v>
      </c>
      <c r="AX24" s="40" t="s">
        <v>1058</v>
      </c>
      <c r="AY24" s="40" t="s">
        <v>1110</v>
      </c>
      <c r="AZ24" s="36" t="s">
        <v>1122</v>
      </c>
      <c r="BB24" s="37">
        <f>AV24+AW24</f>
        <v>0</v>
      </c>
      <c r="BC24" s="37">
        <f>H24/(100-BD24)*100</f>
        <v>0</v>
      </c>
      <c r="BD24" s="37">
        <v>0</v>
      </c>
      <c r="BE24" s="37">
        <f>24</f>
        <v>24</v>
      </c>
      <c r="BG24" s="21">
        <f>G24*AN24</f>
        <v>0</v>
      </c>
      <c r="BH24" s="21">
        <f>G24*AO24</f>
        <v>0</v>
      </c>
      <c r="BI24" s="21">
        <f>G24*H24</f>
        <v>0</v>
      </c>
      <c r="BJ24" s="21" t="s">
        <v>1127</v>
      </c>
      <c r="BK24" s="37">
        <v>13</v>
      </c>
    </row>
    <row r="25" spans="1:63" x14ac:dyDescent="0.25">
      <c r="A25" s="5"/>
      <c r="C25" s="119" t="s">
        <v>634</v>
      </c>
      <c r="D25" s="120"/>
      <c r="E25" s="120"/>
      <c r="G25" s="22">
        <v>4.0199999999999996</v>
      </c>
      <c r="L25" s="5"/>
    </row>
    <row r="26" spans="1:63" x14ac:dyDescent="0.25">
      <c r="A26" s="6"/>
      <c r="B26" s="15" t="s">
        <v>22</v>
      </c>
      <c r="C26" s="121" t="s">
        <v>635</v>
      </c>
      <c r="D26" s="122"/>
      <c r="E26" s="122"/>
      <c r="F26" s="19" t="s">
        <v>6</v>
      </c>
      <c r="G26" s="19" t="s">
        <v>6</v>
      </c>
      <c r="H26" s="19" t="s">
        <v>6</v>
      </c>
      <c r="I26" s="43">
        <f>SUM(I27:I30)</f>
        <v>0</v>
      </c>
      <c r="J26" s="43">
        <f>SUM(J27:J30)</f>
        <v>0</v>
      </c>
      <c r="K26" s="43">
        <f>SUM(K27:K30)</f>
        <v>0</v>
      </c>
      <c r="L26" s="5"/>
      <c r="AH26" s="36"/>
      <c r="AR26" s="43">
        <f>SUM(AI27:AI30)</f>
        <v>0</v>
      </c>
      <c r="AS26" s="43">
        <f>SUM(AJ27:AJ30)</f>
        <v>0</v>
      </c>
      <c r="AT26" s="43">
        <f>SUM(AK27:AK30)</f>
        <v>0</v>
      </c>
    </row>
    <row r="27" spans="1:63" x14ac:dyDescent="0.25">
      <c r="A27" s="4" t="s">
        <v>13</v>
      </c>
      <c r="B27" s="14" t="s">
        <v>310</v>
      </c>
      <c r="C27" s="117" t="s">
        <v>636</v>
      </c>
      <c r="D27" s="118"/>
      <c r="E27" s="118"/>
      <c r="F27" s="14" t="s">
        <v>1021</v>
      </c>
      <c r="G27" s="21">
        <v>21.71</v>
      </c>
      <c r="H27" s="21">
        <v>0</v>
      </c>
      <c r="I27" s="21">
        <f>G27*AN27</f>
        <v>0</v>
      </c>
      <c r="J27" s="21">
        <f>G27*AO27</f>
        <v>0</v>
      </c>
      <c r="K27" s="21">
        <f>G27*H27</f>
        <v>0</v>
      </c>
      <c r="L27" s="5"/>
      <c r="Y27" s="37">
        <f>IF(AP27="5",BI27,0)</f>
        <v>0</v>
      </c>
      <c r="AA27" s="37">
        <f>IF(AP27="1",BG27,0)</f>
        <v>0</v>
      </c>
      <c r="AB27" s="37">
        <f>IF(AP27="1",BH27,0)</f>
        <v>0</v>
      </c>
      <c r="AC27" s="37">
        <f>IF(AP27="7",BG27,0)</f>
        <v>0</v>
      </c>
      <c r="AD27" s="37">
        <f>IF(AP27="7",BH27,0)</f>
        <v>0</v>
      </c>
      <c r="AE27" s="37">
        <f>IF(AP27="2",BG27,0)</f>
        <v>0</v>
      </c>
      <c r="AF27" s="37">
        <f>IF(AP27="2",BH27,0)</f>
        <v>0</v>
      </c>
      <c r="AG27" s="37">
        <f>IF(AP27="0",BI27,0)</f>
        <v>0</v>
      </c>
      <c r="AH27" s="36"/>
      <c r="AI27" s="21">
        <f>IF(AM27=0,K27,0)</f>
        <v>0</v>
      </c>
      <c r="AJ27" s="21">
        <f>IF(AM27=15,K27,0)</f>
        <v>0</v>
      </c>
      <c r="AK27" s="21">
        <f>IF(AM27=21,K27,0)</f>
        <v>0</v>
      </c>
      <c r="AM27" s="37">
        <v>21</v>
      </c>
      <c r="AN27" s="37">
        <f>H27*0</f>
        <v>0</v>
      </c>
      <c r="AO27" s="37">
        <f>H27*(1-0)</f>
        <v>0</v>
      </c>
      <c r="AP27" s="38" t="s">
        <v>7</v>
      </c>
      <c r="AU27" s="37">
        <f>AV27+AW27</f>
        <v>0</v>
      </c>
      <c r="AV27" s="37">
        <f>G27*AN27</f>
        <v>0</v>
      </c>
      <c r="AW27" s="37">
        <f>G27*AO27</f>
        <v>0</v>
      </c>
      <c r="AX27" s="40" t="s">
        <v>1059</v>
      </c>
      <c r="AY27" s="40" t="s">
        <v>1110</v>
      </c>
      <c r="AZ27" s="36" t="s">
        <v>1122</v>
      </c>
      <c r="BB27" s="37">
        <f>AV27+AW27</f>
        <v>0</v>
      </c>
      <c r="BC27" s="37">
        <f>H27/(100-BD27)*100</f>
        <v>0</v>
      </c>
      <c r="BD27" s="37">
        <v>0</v>
      </c>
      <c r="BE27" s="37">
        <f>27</f>
        <v>27</v>
      </c>
      <c r="BG27" s="21">
        <f>G27*AN27</f>
        <v>0</v>
      </c>
      <c r="BH27" s="21">
        <f>G27*AO27</f>
        <v>0</v>
      </c>
      <c r="BI27" s="21">
        <f>G27*H27</f>
        <v>0</v>
      </c>
      <c r="BJ27" s="21" t="s">
        <v>1127</v>
      </c>
      <c r="BK27" s="37">
        <v>16</v>
      </c>
    </row>
    <row r="28" spans="1:63" x14ac:dyDescent="0.25">
      <c r="A28" s="5"/>
      <c r="C28" s="119" t="s">
        <v>637</v>
      </c>
      <c r="D28" s="120"/>
      <c r="E28" s="120"/>
      <c r="G28" s="22">
        <v>21.71</v>
      </c>
      <c r="L28" s="5"/>
    </row>
    <row r="29" spans="1:63" x14ac:dyDescent="0.25">
      <c r="A29" s="4" t="s">
        <v>14</v>
      </c>
      <c r="B29" s="14" t="s">
        <v>311</v>
      </c>
      <c r="C29" s="117" t="s">
        <v>638</v>
      </c>
      <c r="D29" s="118"/>
      <c r="E29" s="118"/>
      <c r="F29" s="14" t="s">
        <v>1021</v>
      </c>
      <c r="G29" s="21">
        <v>21.71</v>
      </c>
      <c r="H29" s="21">
        <v>0</v>
      </c>
      <c r="I29" s="21">
        <f>G29*AN29</f>
        <v>0</v>
      </c>
      <c r="J29" s="21">
        <f>G29*AO29</f>
        <v>0</v>
      </c>
      <c r="K29" s="21">
        <f>G29*H29</f>
        <v>0</v>
      </c>
      <c r="L29" s="5"/>
      <c r="Y29" s="37">
        <f>IF(AP29="5",BI29,0)</f>
        <v>0</v>
      </c>
      <c r="AA29" s="37">
        <f>IF(AP29="1",BG29,0)</f>
        <v>0</v>
      </c>
      <c r="AB29" s="37">
        <f>IF(AP29="1",BH29,0)</f>
        <v>0</v>
      </c>
      <c r="AC29" s="37">
        <f>IF(AP29="7",BG29,0)</f>
        <v>0</v>
      </c>
      <c r="AD29" s="37">
        <f>IF(AP29="7",BH29,0)</f>
        <v>0</v>
      </c>
      <c r="AE29" s="37">
        <f>IF(AP29="2",BG29,0)</f>
        <v>0</v>
      </c>
      <c r="AF29" s="37">
        <f>IF(AP29="2",BH29,0)</f>
        <v>0</v>
      </c>
      <c r="AG29" s="37">
        <f>IF(AP29="0",BI29,0)</f>
        <v>0</v>
      </c>
      <c r="AH29" s="36"/>
      <c r="AI29" s="21">
        <f>IF(AM29=0,K29,0)</f>
        <v>0</v>
      </c>
      <c r="AJ29" s="21">
        <f>IF(AM29=15,K29,0)</f>
        <v>0</v>
      </c>
      <c r="AK29" s="21">
        <f>IF(AM29=21,K29,0)</f>
        <v>0</v>
      </c>
      <c r="AM29" s="37">
        <v>21</v>
      </c>
      <c r="AN29" s="37">
        <f>H29*0</f>
        <v>0</v>
      </c>
      <c r="AO29" s="37">
        <f>H29*(1-0)</f>
        <v>0</v>
      </c>
      <c r="AP29" s="38" t="s">
        <v>7</v>
      </c>
      <c r="AU29" s="37">
        <f>AV29+AW29</f>
        <v>0</v>
      </c>
      <c r="AV29" s="37">
        <f>G29*AN29</f>
        <v>0</v>
      </c>
      <c r="AW29" s="37">
        <f>G29*AO29</f>
        <v>0</v>
      </c>
      <c r="AX29" s="40" t="s">
        <v>1059</v>
      </c>
      <c r="AY29" s="40" t="s">
        <v>1110</v>
      </c>
      <c r="AZ29" s="36" t="s">
        <v>1122</v>
      </c>
      <c r="BB29" s="37">
        <f>AV29+AW29</f>
        <v>0</v>
      </c>
      <c r="BC29" s="37">
        <f>H29/(100-BD29)*100</f>
        <v>0</v>
      </c>
      <c r="BD29" s="37">
        <v>0</v>
      </c>
      <c r="BE29" s="37">
        <f>29</f>
        <v>29</v>
      </c>
      <c r="BG29" s="21">
        <f>G29*AN29</f>
        <v>0</v>
      </c>
      <c r="BH29" s="21">
        <f>G29*AO29</f>
        <v>0</v>
      </c>
      <c r="BI29" s="21">
        <f>G29*H29</f>
        <v>0</v>
      </c>
      <c r="BJ29" s="21" t="s">
        <v>1127</v>
      </c>
      <c r="BK29" s="37">
        <v>16</v>
      </c>
    </row>
    <row r="30" spans="1:63" x14ac:dyDescent="0.25">
      <c r="A30" s="4" t="s">
        <v>15</v>
      </c>
      <c r="B30" s="14" t="s">
        <v>312</v>
      </c>
      <c r="C30" s="117" t="s">
        <v>639</v>
      </c>
      <c r="D30" s="118"/>
      <c r="E30" s="118"/>
      <c r="F30" s="14" t="s">
        <v>1021</v>
      </c>
      <c r="G30" s="21">
        <v>21.71</v>
      </c>
      <c r="H30" s="21">
        <v>0</v>
      </c>
      <c r="I30" s="21">
        <f>G30*AN30</f>
        <v>0</v>
      </c>
      <c r="J30" s="21">
        <f>G30*AO30</f>
        <v>0</v>
      </c>
      <c r="K30" s="21">
        <f>G30*H30</f>
        <v>0</v>
      </c>
      <c r="L30" s="5"/>
      <c r="Y30" s="37">
        <f>IF(AP30="5",BI30,0)</f>
        <v>0</v>
      </c>
      <c r="AA30" s="37">
        <f>IF(AP30="1",BG30,0)</f>
        <v>0</v>
      </c>
      <c r="AB30" s="37">
        <f>IF(AP30="1",BH30,0)</f>
        <v>0</v>
      </c>
      <c r="AC30" s="37">
        <f>IF(AP30="7",BG30,0)</f>
        <v>0</v>
      </c>
      <c r="AD30" s="37">
        <f>IF(AP30="7",BH30,0)</f>
        <v>0</v>
      </c>
      <c r="AE30" s="37">
        <f>IF(AP30="2",BG30,0)</f>
        <v>0</v>
      </c>
      <c r="AF30" s="37">
        <f>IF(AP30="2",BH30,0)</f>
        <v>0</v>
      </c>
      <c r="AG30" s="37">
        <f>IF(AP30="0",BI30,0)</f>
        <v>0</v>
      </c>
      <c r="AH30" s="36"/>
      <c r="AI30" s="21">
        <f>IF(AM30=0,K30,0)</f>
        <v>0</v>
      </c>
      <c r="AJ30" s="21">
        <f>IF(AM30=15,K30,0)</f>
        <v>0</v>
      </c>
      <c r="AK30" s="21">
        <f>IF(AM30=21,K30,0)</f>
        <v>0</v>
      </c>
      <c r="AM30" s="37">
        <v>21</v>
      </c>
      <c r="AN30" s="37">
        <f>H30*0</f>
        <v>0</v>
      </c>
      <c r="AO30" s="37">
        <f>H30*(1-0)</f>
        <v>0</v>
      </c>
      <c r="AP30" s="38" t="s">
        <v>7</v>
      </c>
      <c r="AU30" s="37">
        <f>AV30+AW30</f>
        <v>0</v>
      </c>
      <c r="AV30" s="37">
        <f>G30*AN30</f>
        <v>0</v>
      </c>
      <c r="AW30" s="37">
        <f>G30*AO30</f>
        <v>0</v>
      </c>
      <c r="AX30" s="40" t="s">
        <v>1059</v>
      </c>
      <c r="AY30" s="40" t="s">
        <v>1110</v>
      </c>
      <c r="AZ30" s="36" t="s">
        <v>1122</v>
      </c>
      <c r="BB30" s="37">
        <f>AV30+AW30</f>
        <v>0</v>
      </c>
      <c r="BC30" s="37">
        <f>H30/(100-BD30)*100</f>
        <v>0</v>
      </c>
      <c r="BD30" s="37">
        <v>0</v>
      </c>
      <c r="BE30" s="37">
        <f>30</f>
        <v>30</v>
      </c>
      <c r="BG30" s="21">
        <f>G30*AN30</f>
        <v>0</v>
      </c>
      <c r="BH30" s="21">
        <f>G30*AO30</f>
        <v>0</v>
      </c>
      <c r="BI30" s="21">
        <f>G30*H30</f>
        <v>0</v>
      </c>
      <c r="BJ30" s="21" t="s">
        <v>1127</v>
      </c>
      <c r="BK30" s="37">
        <v>16</v>
      </c>
    </row>
    <row r="31" spans="1:63" x14ac:dyDescent="0.25">
      <c r="A31" s="6"/>
      <c r="B31" s="15" t="s">
        <v>23</v>
      </c>
      <c r="C31" s="121" t="s">
        <v>640</v>
      </c>
      <c r="D31" s="122"/>
      <c r="E31" s="122"/>
      <c r="F31" s="19" t="s">
        <v>6</v>
      </c>
      <c r="G31" s="19" t="s">
        <v>6</v>
      </c>
      <c r="H31" s="19" t="s">
        <v>6</v>
      </c>
      <c r="I31" s="43">
        <f>SUM(I32:I40)</f>
        <v>0</v>
      </c>
      <c r="J31" s="43">
        <f>SUM(J32:J40)</f>
        <v>0</v>
      </c>
      <c r="K31" s="43">
        <f>SUM(K32:K40)</f>
        <v>0</v>
      </c>
      <c r="L31" s="5"/>
      <c r="AH31" s="36"/>
      <c r="AR31" s="43">
        <f>SUM(AI32:AI40)</f>
        <v>0</v>
      </c>
      <c r="AS31" s="43">
        <f>SUM(AJ32:AJ40)</f>
        <v>0</v>
      </c>
      <c r="AT31" s="43">
        <f>SUM(AK32:AK40)</f>
        <v>0</v>
      </c>
    </row>
    <row r="32" spans="1:63" x14ac:dyDescent="0.25">
      <c r="A32" s="4" t="s">
        <v>16</v>
      </c>
      <c r="B32" s="14" t="s">
        <v>313</v>
      </c>
      <c r="C32" s="117" t="s">
        <v>641</v>
      </c>
      <c r="D32" s="118"/>
      <c r="E32" s="118"/>
      <c r="F32" s="14" t="s">
        <v>1021</v>
      </c>
      <c r="G32" s="21">
        <v>2.41</v>
      </c>
      <c r="H32" s="21">
        <v>0</v>
      </c>
      <c r="I32" s="21">
        <f>G32*AN32</f>
        <v>0</v>
      </c>
      <c r="J32" s="21">
        <f>G32*AO32</f>
        <v>0</v>
      </c>
      <c r="K32" s="21">
        <f>G32*H32</f>
        <v>0</v>
      </c>
      <c r="L32" s="5"/>
      <c r="Y32" s="37">
        <f>IF(AP32="5",BI32,0)</f>
        <v>0</v>
      </c>
      <c r="AA32" s="37">
        <f>IF(AP32="1",BG32,0)</f>
        <v>0</v>
      </c>
      <c r="AB32" s="37">
        <f>IF(AP32="1",BH32,0)</f>
        <v>0</v>
      </c>
      <c r="AC32" s="37">
        <f>IF(AP32="7",BG32,0)</f>
        <v>0</v>
      </c>
      <c r="AD32" s="37">
        <f>IF(AP32="7",BH32,0)</f>
        <v>0</v>
      </c>
      <c r="AE32" s="37">
        <f>IF(AP32="2",BG32,0)</f>
        <v>0</v>
      </c>
      <c r="AF32" s="37">
        <f>IF(AP32="2",BH32,0)</f>
        <v>0</v>
      </c>
      <c r="AG32" s="37">
        <f>IF(AP32="0",BI32,0)</f>
        <v>0</v>
      </c>
      <c r="AH32" s="36"/>
      <c r="AI32" s="21">
        <f>IF(AM32=0,K32,0)</f>
        <v>0</v>
      </c>
      <c r="AJ32" s="21">
        <f>IF(AM32=15,K32,0)</f>
        <v>0</v>
      </c>
      <c r="AK32" s="21">
        <f>IF(AM32=21,K32,0)</f>
        <v>0</v>
      </c>
      <c r="AM32" s="37">
        <v>21</v>
      </c>
      <c r="AN32" s="37">
        <f>H32*0</f>
        <v>0</v>
      </c>
      <c r="AO32" s="37">
        <f>H32*(1-0)</f>
        <v>0</v>
      </c>
      <c r="AP32" s="38" t="s">
        <v>7</v>
      </c>
      <c r="AU32" s="37">
        <f>AV32+AW32</f>
        <v>0</v>
      </c>
      <c r="AV32" s="37">
        <f>G32*AN32</f>
        <v>0</v>
      </c>
      <c r="AW32" s="37">
        <f>G32*AO32</f>
        <v>0</v>
      </c>
      <c r="AX32" s="40" t="s">
        <v>1060</v>
      </c>
      <c r="AY32" s="40" t="s">
        <v>1110</v>
      </c>
      <c r="AZ32" s="36" t="s">
        <v>1122</v>
      </c>
      <c r="BB32" s="37">
        <f>AV32+AW32</f>
        <v>0</v>
      </c>
      <c r="BC32" s="37">
        <f>H32/(100-BD32)*100</f>
        <v>0</v>
      </c>
      <c r="BD32" s="37">
        <v>0</v>
      </c>
      <c r="BE32" s="37">
        <f>32</f>
        <v>32</v>
      </c>
      <c r="BG32" s="21">
        <f>G32*AN32</f>
        <v>0</v>
      </c>
      <c r="BH32" s="21">
        <f>G32*AO32</f>
        <v>0</v>
      </c>
      <c r="BI32" s="21">
        <f>G32*H32</f>
        <v>0</v>
      </c>
      <c r="BJ32" s="21" t="s">
        <v>1127</v>
      </c>
      <c r="BK32" s="37">
        <v>17</v>
      </c>
    </row>
    <row r="33" spans="1:63" x14ac:dyDescent="0.25">
      <c r="A33" s="5"/>
      <c r="C33" s="119" t="s">
        <v>642</v>
      </c>
      <c r="D33" s="120"/>
      <c r="E33" s="120"/>
      <c r="G33" s="22">
        <v>2.41</v>
      </c>
      <c r="L33" s="5"/>
    </row>
    <row r="34" spans="1:63" x14ac:dyDescent="0.25">
      <c r="A34" s="5"/>
      <c r="C34" s="119" t="s">
        <v>643</v>
      </c>
      <c r="D34" s="120"/>
      <c r="E34" s="120"/>
      <c r="G34" s="22">
        <v>0</v>
      </c>
      <c r="L34" s="5"/>
    </row>
    <row r="35" spans="1:63" x14ac:dyDescent="0.25">
      <c r="A35" s="4" t="s">
        <v>17</v>
      </c>
      <c r="B35" s="14" t="s">
        <v>314</v>
      </c>
      <c r="C35" s="117" t="s">
        <v>644</v>
      </c>
      <c r="D35" s="118"/>
      <c r="E35" s="118"/>
      <c r="F35" s="14" t="s">
        <v>1021</v>
      </c>
      <c r="G35" s="21">
        <v>2.17</v>
      </c>
      <c r="H35" s="21">
        <v>0</v>
      </c>
      <c r="I35" s="21">
        <f>G35*AN35</f>
        <v>0</v>
      </c>
      <c r="J35" s="21">
        <f>G35*AO35</f>
        <v>0</v>
      </c>
      <c r="K35" s="21">
        <f>G35*H35</f>
        <v>0</v>
      </c>
      <c r="L35" s="5"/>
      <c r="Y35" s="37">
        <f>IF(AP35="5",BI35,0)</f>
        <v>0</v>
      </c>
      <c r="AA35" s="37">
        <f>IF(AP35="1",BG35,0)</f>
        <v>0</v>
      </c>
      <c r="AB35" s="37">
        <f>IF(AP35="1",BH35,0)</f>
        <v>0</v>
      </c>
      <c r="AC35" s="37">
        <f>IF(AP35="7",BG35,0)</f>
        <v>0</v>
      </c>
      <c r="AD35" s="37">
        <f>IF(AP35="7",BH35,0)</f>
        <v>0</v>
      </c>
      <c r="AE35" s="37">
        <f>IF(AP35="2",BG35,0)</f>
        <v>0</v>
      </c>
      <c r="AF35" s="37">
        <f>IF(AP35="2",BH35,0)</f>
        <v>0</v>
      </c>
      <c r="AG35" s="37">
        <f>IF(AP35="0",BI35,0)</f>
        <v>0</v>
      </c>
      <c r="AH35" s="36"/>
      <c r="AI35" s="21">
        <f>IF(AM35=0,K35,0)</f>
        <v>0</v>
      </c>
      <c r="AJ35" s="21">
        <f>IF(AM35=15,K35,0)</f>
        <v>0</v>
      </c>
      <c r="AK35" s="21">
        <f>IF(AM35=21,K35,0)</f>
        <v>0</v>
      </c>
      <c r="AM35" s="37">
        <v>21</v>
      </c>
      <c r="AN35" s="37">
        <f>H35*0</f>
        <v>0</v>
      </c>
      <c r="AO35" s="37">
        <f>H35*(1-0)</f>
        <v>0</v>
      </c>
      <c r="AP35" s="38" t="s">
        <v>7</v>
      </c>
      <c r="AU35" s="37">
        <f>AV35+AW35</f>
        <v>0</v>
      </c>
      <c r="AV35" s="37">
        <f>G35*AN35</f>
        <v>0</v>
      </c>
      <c r="AW35" s="37">
        <f>G35*AO35</f>
        <v>0</v>
      </c>
      <c r="AX35" s="40" t="s">
        <v>1060</v>
      </c>
      <c r="AY35" s="40" t="s">
        <v>1110</v>
      </c>
      <c r="AZ35" s="36" t="s">
        <v>1122</v>
      </c>
      <c r="BB35" s="37">
        <f>AV35+AW35</f>
        <v>0</v>
      </c>
      <c r="BC35" s="37">
        <f>H35/(100-BD35)*100</f>
        <v>0</v>
      </c>
      <c r="BD35" s="37">
        <v>0</v>
      </c>
      <c r="BE35" s="37">
        <f>35</f>
        <v>35</v>
      </c>
      <c r="BG35" s="21">
        <f>G35*AN35</f>
        <v>0</v>
      </c>
      <c r="BH35" s="21">
        <f>G35*AO35</f>
        <v>0</v>
      </c>
      <c r="BI35" s="21">
        <f>G35*H35</f>
        <v>0</v>
      </c>
      <c r="BJ35" s="21" t="s">
        <v>1127</v>
      </c>
      <c r="BK35" s="37">
        <v>17</v>
      </c>
    </row>
    <row r="36" spans="1:63" x14ac:dyDescent="0.25">
      <c r="A36" s="5"/>
      <c r="C36" s="119" t="s">
        <v>645</v>
      </c>
      <c r="D36" s="120"/>
      <c r="E36" s="120"/>
      <c r="G36" s="22">
        <v>2.17</v>
      </c>
      <c r="L36" s="5"/>
    </row>
    <row r="37" spans="1:63" x14ac:dyDescent="0.25">
      <c r="A37" s="7" t="s">
        <v>18</v>
      </c>
      <c r="B37" s="16" t="s">
        <v>315</v>
      </c>
      <c r="C37" s="123" t="s">
        <v>646</v>
      </c>
      <c r="D37" s="124"/>
      <c r="E37" s="124"/>
      <c r="F37" s="16" t="s">
        <v>1022</v>
      </c>
      <c r="G37" s="23">
        <v>3.9</v>
      </c>
      <c r="H37" s="23">
        <v>0</v>
      </c>
      <c r="I37" s="23">
        <f>G37*AN37</f>
        <v>0</v>
      </c>
      <c r="J37" s="23">
        <f>G37*AO37</f>
        <v>0</v>
      </c>
      <c r="K37" s="23">
        <f>G37*H37</f>
        <v>0</v>
      </c>
      <c r="L37" s="5"/>
      <c r="Y37" s="37">
        <f>IF(AP37="5",BI37,0)</f>
        <v>0</v>
      </c>
      <c r="AA37" s="37">
        <f>IF(AP37="1",BG37,0)</f>
        <v>0</v>
      </c>
      <c r="AB37" s="37">
        <f>IF(AP37="1",BH37,0)</f>
        <v>0</v>
      </c>
      <c r="AC37" s="37">
        <f>IF(AP37="7",BG37,0)</f>
        <v>0</v>
      </c>
      <c r="AD37" s="37">
        <f>IF(AP37="7",BH37,0)</f>
        <v>0</v>
      </c>
      <c r="AE37" s="37">
        <f>IF(AP37="2",BG37,0)</f>
        <v>0</v>
      </c>
      <c r="AF37" s="37">
        <f>IF(AP37="2",BH37,0)</f>
        <v>0</v>
      </c>
      <c r="AG37" s="37">
        <f>IF(AP37="0",BI37,0)</f>
        <v>0</v>
      </c>
      <c r="AH37" s="36"/>
      <c r="AI37" s="23">
        <f>IF(AM37=0,K37,0)</f>
        <v>0</v>
      </c>
      <c r="AJ37" s="23">
        <f>IF(AM37=15,K37,0)</f>
        <v>0</v>
      </c>
      <c r="AK37" s="23">
        <f>IF(AM37=21,K37,0)</f>
        <v>0</v>
      </c>
      <c r="AM37" s="37">
        <v>21</v>
      </c>
      <c r="AN37" s="37">
        <f>H37*1</f>
        <v>0</v>
      </c>
      <c r="AO37" s="37">
        <f>H37*(1-1)</f>
        <v>0</v>
      </c>
      <c r="AP37" s="39" t="s">
        <v>7</v>
      </c>
      <c r="AU37" s="37">
        <f>AV37+AW37</f>
        <v>0</v>
      </c>
      <c r="AV37" s="37">
        <f>G37*AN37</f>
        <v>0</v>
      </c>
      <c r="AW37" s="37">
        <f>G37*AO37</f>
        <v>0</v>
      </c>
      <c r="AX37" s="40" t="s">
        <v>1060</v>
      </c>
      <c r="AY37" s="40" t="s">
        <v>1110</v>
      </c>
      <c r="AZ37" s="36" t="s">
        <v>1122</v>
      </c>
      <c r="BB37" s="37">
        <f>AV37+AW37</f>
        <v>0</v>
      </c>
      <c r="BC37" s="37">
        <f>H37/(100-BD37)*100</f>
        <v>0</v>
      </c>
      <c r="BD37" s="37">
        <v>0</v>
      </c>
      <c r="BE37" s="37">
        <f>37</f>
        <v>37</v>
      </c>
      <c r="BG37" s="23">
        <f>G37*AN37</f>
        <v>0</v>
      </c>
      <c r="BH37" s="23">
        <f>G37*AO37</f>
        <v>0</v>
      </c>
      <c r="BI37" s="23">
        <f>G37*H37</f>
        <v>0</v>
      </c>
      <c r="BJ37" s="23" t="s">
        <v>1128</v>
      </c>
      <c r="BK37" s="37">
        <v>17</v>
      </c>
    </row>
    <row r="38" spans="1:63" x14ac:dyDescent="0.25">
      <c r="A38" s="5"/>
      <c r="C38" s="119" t="s">
        <v>647</v>
      </c>
      <c r="D38" s="120"/>
      <c r="E38" s="120"/>
      <c r="G38" s="22">
        <v>3.9</v>
      </c>
      <c r="L38" s="5"/>
    </row>
    <row r="39" spans="1:63" x14ac:dyDescent="0.25">
      <c r="A39" s="4" t="s">
        <v>19</v>
      </c>
      <c r="B39" s="14" t="s">
        <v>316</v>
      </c>
      <c r="C39" s="117" t="s">
        <v>648</v>
      </c>
      <c r="D39" s="118"/>
      <c r="E39" s="118"/>
      <c r="F39" s="14" t="s">
        <v>1023</v>
      </c>
      <c r="G39" s="21">
        <v>62</v>
      </c>
      <c r="H39" s="21">
        <v>0</v>
      </c>
      <c r="I39" s="21">
        <f>G39*AN39</f>
        <v>0</v>
      </c>
      <c r="J39" s="21">
        <f>G39*AO39</f>
        <v>0</v>
      </c>
      <c r="K39" s="21">
        <f>G39*H39</f>
        <v>0</v>
      </c>
      <c r="L39" s="5"/>
      <c r="Y39" s="37">
        <f>IF(AP39="5",BI39,0)</f>
        <v>0</v>
      </c>
      <c r="AA39" s="37">
        <f>IF(AP39="1",BG39,0)</f>
        <v>0</v>
      </c>
      <c r="AB39" s="37">
        <f>IF(AP39="1",BH39,0)</f>
        <v>0</v>
      </c>
      <c r="AC39" s="37">
        <f>IF(AP39="7",BG39,0)</f>
        <v>0</v>
      </c>
      <c r="AD39" s="37">
        <f>IF(AP39="7",BH39,0)</f>
        <v>0</v>
      </c>
      <c r="AE39" s="37">
        <f>IF(AP39="2",BG39,0)</f>
        <v>0</v>
      </c>
      <c r="AF39" s="37">
        <f>IF(AP39="2",BH39,0)</f>
        <v>0</v>
      </c>
      <c r="AG39" s="37">
        <f>IF(AP39="0",BI39,0)</f>
        <v>0</v>
      </c>
      <c r="AH39" s="36"/>
      <c r="AI39" s="21">
        <f>IF(AM39=0,K39,0)</f>
        <v>0</v>
      </c>
      <c r="AJ39" s="21">
        <f>IF(AM39=15,K39,0)</f>
        <v>0</v>
      </c>
      <c r="AK39" s="21">
        <f>IF(AM39=21,K39,0)</f>
        <v>0</v>
      </c>
      <c r="AM39" s="37">
        <v>21</v>
      </c>
      <c r="AN39" s="37">
        <f>H39*0.85141975308642</f>
        <v>0</v>
      </c>
      <c r="AO39" s="37">
        <f>H39*(1-0.85141975308642)</f>
        <v>0</v>
      </c>
      <c r="AP39" s="38" t="s">
        <v>7</v>
      </c>
      <c r="AU39" s="37">
        <f>AV39+AW39</f>
        <v>0</v>
      </c>
      <c r="AV39" s="37">
        <f>G39*AN39</f>
        <v>0</v>
      </c>
      <c r="AW39" s="37">
        <f>G39*AO39</f>
        <v>0</v>
      </c>
      <c r="AX39" s="40" t="s">
        <v>1060</v>
      </c>
      <c r="AY39" s="40" t="s">
        <v>1110</v>
      </c>
      <c r="AZ39" s="36" t="s">
        <v>1122</v>
      </c>
      <c r="BB39" s="37">
        <f>AV39+AW39</f>
        <v>0</v>
      </c>
      <c r="BC39" s="37">
        <f>H39/(100-BD39)*100</f>
        <v>0</v>
      </c>
      <c r="BD39" s="37">
        <v>0</v>
      </c>
      <c r="BE39" s="37">
        <f>39</f>
        <v>39</v>
      </c>
      <c r="BG39" s="21">
        <f>G39*AN39</f>
        <v>0</v>
      </c>
      <c r="BH39" s="21">
        <f>G39*AO39</f>
        <v>0</v>
      </c>
      <c r="BI39" s="21">
        <f>G39*H39</f>
        <v>0</v>
      </c>
      <c r="BJ39" s="21" t="s">
        <v>1127</v>
      </c>
      <c r="BK39" s="37">
        <v>17</v>
      </c>
    </row>
    <row r="40" spans="1:63" x14ac:dyDescent="0.25">
      <c r="A40" s="4" t="s">
        <v>20</v>
      </c>
      <c r="B40" s="14" t="s">
        <v>317</v>
      </c>
      <c r="C40" s="117" t="s">
        <v>649</v>
      </c>
      <c r="D40" s="118"/>
      <c r="E40" s="118"/>
      <c r="F40" s="14" t="s">
        <v>1022</v>
      </c>
      <c r="G40" s="21">
        <v>31.51</v>
      </c>
      <c r="H40" s="21">
        <v>0</v>
      </c>
      <c r="I40" s="21">
        <f>G40*AN40</f>
        <v>0</v>
      </c>
      <c r="J40" s="21">
        <f>G40*AO40</f>
        <v>0</v>
      </c>
      <c r="K40" s="21">
        <f>G40*H40</f>
        <v>0</v>
      </c>
      <c r="L40" s="5"/>
      <c r="Y40" s="37">
        <f>IF(AP40="5",BI40,0)</f>
        <v>0</v>
      </c>
      <c r="AA40" s="37">
        <f>IF(AP40="1",BG40,0)</f>
        <v>0</v>
      </c>
      <c r="AB40" s="37">
        <f>IF(AP40="1",BH40,0)</f>
        <v>0</v>
      </c>
      <c r="AC40" s="37">
        <f>IF(AP40="7",BG40,0)</f>
        <v>0</v>
      </c>
      <c r="AD40" s="37">
        <f>IF(AP40="7",BH40,0)</f>
        <v>0</v>
      </c>
      <c r="AE40" s="37">
        <f>IF(AP40="2",BG40,0)</f>
        <v>0</v>
      </c>
      <c r="AF40" s="37">
        <f>IF(AP40="2",BH40,0)</f>
        <v>0</v>
      </c>
      <c r="AG40" s="37">
        <f>IF(AP40="0",BI40,0)</f>
        <v>0</v>
      </c>
      <c r="AH40" s="36"/>
      <c r="AI40" s="21">
        <f>IF(AM40=0,K40,0)</f>
        <v>0</v>
      </c>
      <c r="AJ40" s="21">
        <f>IF(AM40=15,K40,0)</f>
        <v>0</v>
      </c>
      <c r="AK40" s="21">
        <f>IF(AM40=21,K40,0)</f>
        <v>0</v>
      </c>
      <c r="AM40" s="37">
        <v>21</v>
      </c>
      <c r="AN40" s="37">
        <f>H40*0</f>
        <v>0</v>
      </c>
      <c r="AO40" s="37">
        <f>H40*(1-0)</f>
        <v>0</v>
      </c>
      <c r="AP40" s="38" t="s">
        <v>11</v>
      </c>
      <c r="AU40" s="37">
        <f>AV40+AW40</f>
        <v>0</v>
      </c>
      <c r="AV40" s="37">
        <f>G40*AN40</f>
        <v>0</v>
      </c>
      <c r="AW40" s="37">
        <f>G40*AO40</f>
        <v>0</v>
      </c>
      <c r="AX40" s="40" t="s">
        <v>1060</v>
      </c>
      <c r="AY40" s="40" t="s">
        <v>1110</v>
      </c>
      <c r="AZ40" s="36" t="s">
        <v>1122</v>
      </c>
      <c r="BB40" s="37">
        <f>AV40+AW40</f>
        <v>0</v>
      </c>
      <c r="BC40" s="37">
        <f>H40/(100-BD40)*100</f>
        <v>0</v>
      </c>
      <c r="BD40" s="37">
        <v>0</v>
      </c>
      <c r="BE40" s="37">
        <f>40</f>
        <v>40</v>
      </c>
      <c r="BG40" s="21">
        <f>G40*AN40</f>
        <v>0</v>
      </c>
      <c r="BH40" s="21">
        <f>G40*AO40</f>
        <v>0</v>
      </c>
      <c r="BI40" s="21">
        <f>G40*H40</f>
        <v>0</v>
      </c>
      <c r="BJ40" s="21" t="s">
        <v>1127</v>
      </c>
      <c r="BK40" s="37">
        <v>17</v>
      </c>
    </row>
    <row r="41" spans="1:63" x14ac:dyDescent="0.25">
      <c r="A41" s="5"/>
      <c r="C41" s="119" t="s">
        <v>650</v>
      </c>
      <c r="D41" s="120"/>
      <c r="E41" s="120"/>
      <c r="G41" s="22">
        <v>31.51</v>
      </c>
      <c r="L41" s="5"/>
    </row>
    <row r="42" spans="1:63" x14ac:dyDescent="0.25">
      <c r="A42" s="6"/>
      <c r="B42" s="15" t="s">
        <v>37</v>
      </c>
      <c r="C42" s="121" t="s">
        <v>651</v>
      </c>
      <c r="D42" s="122"/>
      <c r="E42" s="122"/>
      <c r="F42" s="19" t="s">
        <v>6</v>
      </c>
      <c r="G42" s="19" t="s">
        <v>6</v>
      </c>
      <c r="H42" s="19" t="s">
        <v>6</v>
      </c>
      <c r="I42" s="43">
        <f>SUM(I43:I48)</f>
        <v>0</v>
      </c>
      <c r="J42" s="43">
        <f>SUM(J43:J48)</f>
        <v>0</v>
      </c>
      <c r="K42" s="43">
        <f>SUM(K43:K48)</f>
        <v>0</v>
      </c>
      <c r="L42" s="5"/>
      <c r="AH42" s="36"/>
      <c r="AR42" s="43">
        <f>SUM(AI43:AI48)</f>
        <v>0</v>
      </c>
      <c r="AS42" s="43">
        <f>SUM(AJ43:AJ48)</f>
        <v>0</v>
      </c>
      <c r="AT42" s="43">
        <f>SUM(AK43:AK48)</f>
        <v>0</v>
      </c>
    </row>
    <row r="43" spans="1:63" x14ac:dyDescent="0.25">
      <c r="A43" s="4" t="s">
        <v>21</v>
      </c>
      <c r="B43" s="14" t="s">
        <v>318</v>
      </c>
      <c r="C43" s="117" t="s">
        <v>652</v>
      </c>
      <c r="D43" s="118"/>
      <c r="E43" s="118"/>
      <c r="F43" s="14" t="s">
        <v>1024</v>
      </c>
      <c r="G43" s="21">
        <v>1</v>
      </c>
      <c r="H43" s="21">
        <v>0</v>
      </c>
      <c r="I43" s="21">
        <f>G43*AN43</f>
        <v>0</v>
      </c>
      <c r="J43" s="21">
        <f>G43*AO43</f>
        <v>0</v>
      </c>
      <c r="K43" s="21">
        <f t="shared" ref="K43:K48" si="0">G43*H43</f>
        <v>0</v>
      </c>
      <c r="L43" s="5"/>
      <c r="Y43" s="37">
        <f t="shared" ref="Y43:Y48" si="1">IF(AP43="5",BI43,0)</f>
        <v>0</v>
      </c>
      <c r="AA43" s="37">
        <f t="shared" ref="AA43:AA48" si="2">IF(AP43="1",BG43,0)</f>
        <v>0</v>
      </c>
      <c r="AB43" s="37">
        <f t="shared" ref="AB43:AB48" si="3">IF(AP43="1",BH43,0)</f>
        <v>0</v>
      </c>
      <c r="AC43" s="37">
        <f t="shared" ref="AC43:AC48" si="4">IF(AP43="7",BG43,0)</f>
        <v>0</v>
      </c>
      <c r="AD43" s="37">
        <f t="shared" ref="AD43:AD48" si="5">IF(AP43="7",BH43,0)</f>
        <v>0</v>
      </c>
      <c r="AE43" s="37">
        <f t="shared" ref="AE43:AE48" si="6">IF(AP43="2",BG43,0)</f>
        <v>0</v>
      </c>
      <c r="AF43" s="37">
        <f t="shared" ref="AF43:AF48" si="7">IF(AP43="2",BH43,0)</f>
        <v>0</v>
      </c>
      <c r="AG43" s="37">
        <f t="shared" ref="AG43:AG48" si="8">IF(AP43="0",BI43,0)</f>
        <v>0</v>
      </c>
      <c r="AH43" s="36"/>
      <c r="AI43" s="21">
        <f>IF(AM43=0,K43,0)</f>
        <v>0</v>
      </c>
      <c r="AJ43" s="21">
        <f>IF(AM43=15,K43,0)</f>
        <v>0</v>
      </c>
      <c r="AK43" s="21">
        <f>IF(AM43=21,K43,0)</f>
        <v>0</v>
      </c>
      <c r="AM43" s="37">
        <v>21</v>
      </c>
      <c r="AN43" s="37">
        <f>H43*0.18984</f>
        <v>0</v>
      </c>
      <c r="AO43" s="37">
        <f>H43*(1-0.18984)</f>
        <v>0</v>
      </c>
      <c r="AP43" s="38" t="s">
        <v>7</v>
      </c>
      <c r="AU43" s="37">
        <f t="shared" ref="AU43:AU48" si="9">AV43+AW43</f>
        <v>0</v>
      </c>
      <c r="AV43" s="37">
        <f>G43*AN43</f>
        <v>0</v>
      </c>
      <c r="AW43" s="37">
        <f>G43*AO43</f>
        <v>0</v>
      </c>
      <c r="AX43" s="40" t="s">
        <v>1061</v>
      </c>
      <c r="AY43" s="40" t="s">
        <v>1111</v>
      </c>
      <c r="AZ43" s="36" t="s">
        <v>1122</v>
      </c>
      <c r="BB43" s="37">
        <f t="shared" ref="BB43:BB48" si="10">AV43+AW43</f>
        <v>0</v>
      </c>
      <c r="BC43" s="37">
        <f>H43/(100-BD43)*100</f>
        <v>0</v>
      </c>
      <c r="BD43" s="37">
        <v>0</v>
      </c>
      <c r="BE43" s="37">
        <f>43</f>
        <v>43</v>
      </c>
      <c r="BG43" s="21">
        <f>G43*AN43</f>
        <v>0</v>
      </c>
      <c r="BH43" s="21">
        <f>G43*AO43</f>
        <v>0</v>
      </c>
      <c r="BI43" s="21">
        <f>G43*H43</f>
        <v>0</v>
      </c>
      <c r="BJ43" s="21" t="s">
        <v>1127</v>
      </c>
      <c r="BK43" s="37">
        <v>31</v>
      </c>
    </row>
    <row r="44" spans="1:63" x14ac:dyDescent="0.25">
      <c r="A44" s="4" t="s">
        <v>22</v>
      </c>
      <c r="B44" s="14" t="s">
        <v>319</v>
      </c>
      <c r="C44" s="117" t="s">
        <v>653</v>
      </c>
      <c r="D44" s="118"/>
      <c r="E44" s="118"/>
      <c r="F44" s="14" t="s">
        <v>1024</v>
      </c>
      <c r="G44" s="21">
        <v>4</v>
      </c>
      <c r="H44" s="21">
        <v>0</v>
      </c>
      <c r="I44" s="21">
        <f>G44*AN44</f>
        <v>0</v>
      </c>
      <c r="J44" s="21">
        <f>G44*AO44</f>
        <v>0</v>
      </c>
      <c r="K44" s="21">
        <f t="shared" si="0"/>
        <v>0</v>
      </c>
      <c r="L44" s="5"/>
      <c r="Y44" s="37">
        <f t="shared" si="1"/>
        <v>0</v>
      </c>
      <c r="AA44" s="37">
        <f t="shared" si="2"/>
        <v>0</v>
      </c>
      <c r="AB44" s="37">
        <f t="shared" si="3"/>
        <v>0</v>
      </c>
      <c r="AC44" s="37">
        <f t="shared" si="4"/>
        <v>0</v>
      </c>
      <c r="AD44" s="37">
        <f t="shared" si="5"/>
        <v>0</v>
      </c>
      <c r="AE44" s="37">
        <f t="shared" si="6"/>
        <v>0</v>
      </c>
      <c r="AF44" s="37">
        <f t="shared" si="7"/>
        <v>0</v>
      </c>
      <c r="AG44" s="37">
        <f t="shared" si="8"/>
        <v>0</v>
      </c>
      <c r="AH44" s="36"/>
      <c r="AI44" s="21">
        <f>IF(AM44=0,K44,0)</f>
        <v>0</v>
      </c>
      <c r="AJ44" s="21">
        <f>IF(AM44=15,K44,0)</f>
        <v>0</v>
      </c>
      <c r="AK44" s="21">
        <f>IF(AM44=21,K44,0)</f>
        <v>0</v>
      </c>
      <c r="AM44" s="37">
        <v>21</v>
      </c>
      <c r="AN44" s="37">
        <f>H44*0.523909511568123</f>
        <v>0</v>
      </c>
      <c r="AO44" s="37">
        <f>H44*(1-0.523909511568123)</f>
        <v>0</v>
      </c>
      <c r="AP44" s="38" t="s">
        <v>7</v>
      </c>
      <c r="AU44" s="37">
        <f t="shared" si="9"/>
        <v>0</v>
      </c>
      <c r="AV44" s="37">
        <f>G44*AN44</f>
        <v>0</v>
      </c>
      <c r="AW44" s="37">
        <f>G44*AO44</f>
        <v>0</v>
      </c>
      <c r="AX44" s="40" t="s">
        <v>1061</v>
      </c>
      <c r="AY44" s="40" t="s">
        <v>1111</v>
      </c>
      <c r="AZ44" s="36" t="s">
        <v>1122</v>
      </c>
      <c r="BB44" s="37">
        <f t="shared" si="10"/>
        <v>0</v>
      </c>
      <c r="BC44" s="37">
        <f>H44/(100-BD44)*100</f>
        <v>0</v>
      </c>
      <c r="BD44" s="37">
        <v>0</v>
      </c>
      <c r="BE44" s="37">
        <f>44</f>
        <v>44</v>
      </c>
      <c r="BG44" s="21">
        <f>G44*AN44</f>
        <v>0</v>
      </c>
      <c r="BH44" s="21">
        <f>G44*AO44</f>
        <v>0</v>
      </c>
      <c r="BI44" s="21">
        <f>G44*H44</f>
        <v>0</v>
      </c>
      <c r="BJ44" s="21" t="s">
        <v>1127</v>
      </c>
      <c r="BK44" s="37">
        <v>31</v>
      </c>
    </row>
    <row r="45" spans="1:63" x14ac:dyDescent="0.25">
      <c r="A45" s="4" t="s">
        <v>23</v>
      </c>
      <c r="B45" s="14" t="s">
        <v>320</v>
      </c>
      <c r="C45" s="117" t="s">
        <v>654</v>
      </c>
      <c r="D45" s="118"/>
      <c r="E45" s="118"/>
      <c r="F45" s="14" t="s">
        <v>1024</v>
      </c>
      <c r="G45" s="21">
        <v>1</v>
      </c>
      <c r="H45" s="21">
        <v>0</v>
      </c>
      <c r="I45" s="21">
        <f>G45*AN45</f>
        <v>0</v>
      </c>
      <c r="J45" s="21">
        <f>G45*AO45</f>
        <v>0</v>
      </c>
      <c r="K45" s="21">
        <f t="shared" si="0"/>
        <v>0</v>
      </c>
      <c r="L45" s="5"/>
      <c r="Y45" s="37">
        <f t="shared" si="1"/>
        <v>0</v>
      </c>
      <c r="AA45" s="37">
        <f t="shared" si="2"/>
        <v>0</v>
      </c>
      <c r="AB45" s="37">
        <f t="shared" si="3"/>
        <v>0</v>
      </c>
      <c r="AC45" s="37">
        <f t="shared" si="4"/>
        <v>0</v>
      </c>
      <c r="AD45" s="37">
        <f t="shared" si="5"/>
        <v>0</v>
      </c>
      <c r="AE45" s="37">
        <f t="shared" si="6"/>
        <v>0</v>
      </c>
      <c r="AF45" s="37">
        <f t="shared" si="7"/>
        <v>0</v>
      </c>
      <c r="AG45" s="37">
        <f t="shared" si="8"/>
        <v>0</v>
      </c>
      <c r="AH45" s="36"/>
      <c r="AI45" s="21">
        <f>IF(AM45=0,K45,0)</f>
        <v>0</v>
      </c>
      <c r="AJ45" s="21">
        <f>IF(AM45=15,K45,0)</f>
        <v>0</v>
      </c>
      <c r="AK45" s="21">
        <f>IF(AM45=21,K45,0)</f>
        <v>0</v>
      </c>
      <c r="AM45" s="37">
        <v>21</v>
      </c>
      <c r="AN45" s="37">
        <f>H45*0</f>
        <v>0</v>
      </c>
      <c r="AO45" s="37">
        <f>H45*(1-0)</f>
        <v>0</v>
      </c>
      <c r="AP45" s="38" t="s">
        <v>7</v>
      </c>
      <c r="AU45" s="37">
        <f t="shared" si="9"/>
        <v>0</v>
      </c>
      <c r="AV45" s="37">
        <f>G45*AN45</f>
        <v>0</v>
      </c>
      <c r="AW45" s="37">
        <f>G45*AO45</f>
        <v>0</v>
      </c>
      <c r="AX45" s="40" t="s">
        <v>1061</v>
      </c>
      <c r="AY45" s="40" t="s">
        <v>1111</v>
      </c>
      <c r="AZ45" s="36" t="s">
        <v>1122</v>
      </c>
      <c r="BB45" s="37">
        <f t="shared" si="10"/>
        <v>0</v>
      </c>
      <c r="BC45" s="37">
        <f>H45/(100-BD45)*100</f>
        <v>0</v>
      </c>
      <c r="BD45" s="37">
        <v>0</v>
      </c>
      <c r="BE45" s="37">
        <f>45</f>
        <v>45</v>
      </c>
      <c r="BG45" s="21">
        <f>G45*AN45</f>
        <v>0</v>
      </c>
      <c r="BH45" s="21">
        <f>G45*AO45</f>
        <v>0</v>
      </c>
      <c r="BI45" s="21">
        <f>G45*H45</f>
        <v>0</v>
      </c>
      <c r="BJ45" s="21" t="s">
        <v>1127</v>
      </c>
      <c r="BK45" s="37">
        <v>31</v>
      </c>
    </row>
    <row r="46" spans="1:63" x14ac:dyDescent="0.25">
      <c r="A46" s="7" t="s">
        <v>24</v>
      </c>
      <c r="B46" s="16" t="s">
        <v>321</v>
      </c>
      <c r="C46" s="123" t="s">
        <v>655</v>
      </c>
      <c r="D46" s="124"/>
      <c r="E46" s="124"/>
      <c r="F46" s="16" t="s">
        <v>1024</v>
      </c>
      <c r="G46" s="23">
        <v>1</v>
      </c>
      <c r="H46" s="23">
        <v>0</v>
      </c>
      <c r="I46" s="23">
        <f>G46*AN46</f>
        <v>0</v>
      </c>
      <c r="J46" s="23">
        <f>G46*AO46</f>
        <v>0</v>
      </c>
      <c r="K46" s="23">
        <f t="shared" si="0"/>
        <v>0</v>
      </c>
      <c r="L46" s="5"/>
      <c r="Y46" s="37">
        <f t="shared" si="1"/>
        <v>0</v>
      </c>
      <c r="AA46" s="37">
        <f t="shared" si="2"/>
        <v>0</v>
      </c>
      <c r="AB46" s="37">
        <f t="shared" si="3"/>
        <v>0</v>
      </c>
      <c r="AC46" s="37">
        <f t="shared" si="4"/>
        <v>0</v>
      </c>
      <c r="AD46" s="37">
        <f t="shared" si="5"/>
        <v>0</v>
      </c>
      <c r="AE46" s="37">
        <f t="shared" si="6"/>
        <v>0</v>
      </c>
      <c r="AF46" s="37">
        <f t="shared" si="7"/>
        <v>0</v>
      </c>
      <c r="AG46" s="37">
        <f t="shared" si="8"/>
        <v>0</v>
      </c>
      <c r="AH46" s="36"/>
      <c r="AI46" s="23">
        <f>IF(AM46=0,K46,0)</f>
        <v>0</v>
      </c>
      <c r="AJ46" s="23">
        <f>IF(AM46=15,K46,0)</f>
        <v>0</v>
      </c>
      <c r="AK46" s="23">
        <f>IF(AM46=21,K46,0)</f>
        <v>0</v>
      </c>
      <c r="AM46" s="37">
        <v>21</v>
      </c>
      <c r="AN46" s="37">
        <f>H46*1</f>
        <v>0</v>
      </c>
      <c r="AO46" s="37">
        <f>H46*(1-1)</f>
        <v>0</v>
      </c>
      <c r="AP46" s="39" t="s">
        <v>7</v>
      </c>
      <c r="AU46" s="37">
        <f t="shared" si="9"/>
        <v>0</v>
      </c>
      <c r="AV46" s="37">
        <f>G46*AN46</f>
        <v>0</v>
      </c>
      <c r="AW46" s="37">
        <f>G46*AO46</f>
        <v>0</v>
      </c>
      <c r="AX46" s="40" t="s">
        <v>1061</v>
      </c>
      <c r="AY46" s="40" t="s">
        <v>1111</v>
      </c>
      <c r="AZ46" s="36" t="s">
        <v>1122</v>
      </c>
      <c r="BB46" s="37">
        <f t="shared" si="10"/>
        <v>0</v>
      </c>
      <c r="BC46" s="37">
        <f>H46/(100-BD46)*100</f>
        <v>0</v>
      </c>
      <c r="BD46" s="37">
        <v>0</v>
      </c>
      <c r="BE46" s="37">
        <f>46</f>
        <v>46</v>
      </c>
      <c r="BG46" s="23">
        <f>G46*AN46</f>
        <v>0</v>
      </c>
      <c r="BH46" s="23">
        <f>G46*AO46</f>
        <v>0</v>
      </c>
      <c r="BI46" s="23">
        <f>G46*H46</f>
        <v>0</v>
      </c>
      <c r="BJ46" s="23" t="s">
        <v>1128</v>
      </c>
      <c r="BK46" s="37">
        <v>31</v>
      </c>
    </row>
    <row r="47" spans="1:63" x14ac:dyDescent="0.25">
      <c r="A47" s="4" t="s">
        <v>25</v>
      </c>
      <c r="B47" s="14" t="s">
        <v>320</v>
      </c>
      <c r="C47" s="117" t="s">
        <v>656</v>
      </c>
      <c r="D47" s="118"/>
      <c r="E47" s="118"/>
      <c r="F47" s="14" t="s">
        <v>1024</v>
      </c>
      <c r="G47" s="21">
        <v>4</v>
      </c>
      <c r="H47" s="21">
        <v>0</v>
      </c>
      <c r="I47" s="21">
        <f>G47*AN47</f>
        <v>0</v>
      </c>
      <c r="J47" s="21">
        <f>G47*AO47</f>
        <v>0</v>
      </c>
      <c r="K47" s="21">
        <f t="shared" si="0"/>
        <v>0</v>
      </c>
      <c r="L47" s="5"/>
      <c r="Y47" s="37">
        <f t="shared" si="1"/>
        <v>0</v>
      </c>
      <c r="AA47" s="37">
        <f t="shared" si="2"/>
        <v>0</v>
      </c>
      <c r="AB47" s="37">
        <f t="shared" si="3"/>
        <v>0</v>
      </c>
      <c r="AC47" s="37">
        <f t="shared" si="4"/>
        <v>0</v>
      </c>
      <c r="AD47" s="37">
        <f t="shared" si="5"/>
        <v>0</v>
      </c>
      <c r="AE47" s="37">
        <f t="shared" si="6"/>
        <v>0</v>
      </c>
      <c r="AF47" s="37">
        <f t="shared" si="7"/>
        <v>0</v>
      </c>
      <c r="AG47" s="37">
        <f t="shared" si="8"/>
        <v>0</v>
      </c>
      <c r="AH47" s="36"/>
      <c r="AI47" s="21">
        <f>IF(AM47=0,K47,0)</f>
        <v>0</v>
      </c>
      <c r="AJ47" s="21">
        <f>IF(AM47=15,K47,0)</f>
        <v>0</v>
      </c>
      <c r="AK47" s="21">
        <f>IF(AM47=21,K47,0)</f>
        <v>0</v>
      </c>
      <c r="AM47" s="37">
        <v>21</v>
      </c>
      <c r="AN47" s="37">
        <f>H47*0.198726114649682</f>
        <v>0</v>
      </c>
      <c r="AO47" s="37">
        <f>H47*(1-0.198726114649682)</f>
        <v>0</v>
      </c>
      <c r="AP47" s="38" t="s">
        <v>7</v>
      </c>
      <c r="AU47" s="37">
        <f t="shared" si="9"/>
        <v>0</v>
      </c>
      <c r="AV47" s="37">
        <f>G47*AN47</f>
        <v>0</v>
      </c>
      <c r="AW47" s="37">
        <f>G47*AO47</f>
        <v>0</v>
      </c>
      <c r="AX47" s="40" t="s">
        <v>1061</v>
      </c>
      <c r="AY47" s="40" t="s">
        <v>1111</v>
      </c>
      <c r="AZ47" s="36" t="s">
        <v>1122</v>
      </c>
      <c r="BB47" s="37">
        <f t="shared" si="10"/>
        <v>0</v>
      </c>
      <c r="BC47" s="37">
        <f>H47/(100-BD47)*100</f>
        <v>0</v>
      </c>
      <c r="BD47" s="37">
        <v>0</v>
      </c>
      <c r="BE47" s="37">
        <f>47</f>
        <v>47</v>
      </c>
      <c r="BG47" s="21">
        <f>G47*AN47</f>
        <v>0</v>
      </c>
      <c r="BH47" s="21">
        <f>G47*AO47</f>
        <v>0</v>
      </c>
      <c r="BI47" s="21">
        <f>G47*H47</f>
        <v>0</v>
      </c>
      <c r="BJ47" s="21" t="s">
        <v>1127</v>
      </c>
      <c r="BK47" s="37">
        <v>31</v>
      </c>
    </row>
    <row r="48" spans="1:63" x14ac:dyDescent="0.25">
      <c r="A48" s="7" t="s">
        <v>26</v>
      </c>
      <c r="B48" s="16" t="s">
        <v>322</v>
      </c>
      <c r="C48" s="123" t="s">
        <v>657</v>
      </c>
      <c r="D48" s="124"/>
      <c r="E48" s="124"/>
      <c r="F48" s="16" t="s">
        <v>1024</v>
      </c>
      <c r="G48" s="23">
        <v>4</v>
      </c>
      <c r="H48" s="23">
        <v>0</v>
      </c>
      <c r="I48" s="23">
        <f>G48*AN48</f>
        <v>0</v>
      </c>
      <c r="J48" s="23">
        <f>G48*AO48</f>
        <v>0</v>
      </c>
      <c r="K48" s="23">
        <f t="shared" si="0"/>
        <v>0</v>
      </c>
      <c r="L48" s="5"/>
      <c r="Y48" s="37">
        <f t="shared" si="1"/>
        <v>0</v>
      </c>
      <c r="AA48" s="37">
        <f t="shared" si="2"/>
        <v>0</v>
      </c>
      <c r="AB48" s="37">
        <f t="shared" si="3"/>
        <v>0</v>
      </c>
      <c r="AC48" s="37">
        <f t="shared" si="4"/>
        <v>0</v>
      </c>
      <c r="AD48" s="37">
        <f t="shared" si="5"/>
        <v>0</v>
      </c>
      <c r="AE48" s="37">
        <f t="shared" si="6"/>
        <v>0</v>
      </c>
      <c r="AF48" s="37">
        <f t="shared" si="7"/>
        <v>0</v>
      </c>
      <c r="AG48" s="37">
        <f t="shared" si="8"/>
        <v>0</v>
      </c>
      <c r="AH48" s="36"/>
      <c r="AI48" s="23">
        <f>IF(AM48=0,K48,0)</f>
        <v>0</v>
      </c>
      <c r="AJ48" s="23">
        <f>IF(AM48=15,K48,0)</f>
        <v>0</v>
      </c>
      <c r="AK48" s="23">
        <f>IF(AM48=21,K48,0)</f>
        <v>0</v>
      </c>
      <c r="AM48" s="37">
        <v>21</v>
      </c>
      <c r="AN48" s="37">
        <f>H48*1</f>
        <v>0</v>
      </c>
      <c r="AO48" s="37">
        <f>H48*(1-1)</f>
        <v>0</v>
      </c>
      <c r="AP48" s="39" t="s">
        <v>7</v>
      </c>
      <c r="AU48" s="37">
        <f t="shared" si="9"/>
        <v>0</v>
      </c>
      <c r="AV48" s="37">
        <f>G48*AN48</f>
        <v>0</v>
      </c>
      <c r="AW48" s="37">
        <f>G48*AO48</f>
        <v>0</v>
      </c>
      <c r="AX48" s="40" t="s">
        <v>1061</v>
      </c>
      <c r="AY48" s="40" t="s">
        <v>1111</v>
      </c>
      <c r="AZ48" s="36" t="s">
        <v>1122</v>
      </c>
      <c r="BB48" s="37">
        <f t="shared" si="10"/>
        <v>0</v>
      </c>
      <c r="BC48" s="37">
        <f>H48/(100-BD48)*100</f>
        <v>0</v>
      </c>
      <c r="BD48" s="37">
        <v>0</v>
      </c>
      <c r="BE48" s="37">
        <f>48</f>
        <v>48</v>
      </c>
      <c r="BG48" s="23">
        <f>G48*AN48</f>
        <v>0</v>
      </c>
      <c r="BH48" s="23">
        <f>G48*AO48</f>
        <v>0</v>
      </c>
      <c r="BI48" s="23">
        <f>G48*H48</f>
        <v>0</v>
      </c>
      <c r="BJ48" s="23" t="s">
        <v>1128</v>
      </c>
      <c r="BK48" s="37">
        <v>31</v>
      </c>
    </row>
    <row r="49" spans="1:63" x14ac:dyDescent="0.25">
      <c r="A49" s="6"/>
      <c r="B49" s="15" t="s">
        <v>39</v>
      </c>
      <c r="C49" s="121" t="s">
        <v>658</v>
      </c>
      <c r="D49" s="122"/>
      <c r="E49" s="122"/>
      <c r="F49" s="19" t="s">
        <v>6</v>
      </c>
      <c r="G49" s="19" t="s">
        <v>6</v>
      </c>
      <c r="H49" s="19" t="s">
        <v>6</v>
      </c>
      <c r="I49" s="43">
        <f>SUM(I50:I61)</f>
        <v>0</v>
      </c>
      <c r="J49" s="43">
        <f>SUM(J50:J61)</f>
        <v>0</v>
      </c>
      <c r="K49" s="43">
        <f>SUM(K50:K61)</f>
        <v>0</v>
      </c>
      <c r="L49" s="5"/>
      <c r="AH49" s="36"/>
      <c r="AR49" s="43">
        <f>SUM(AI50:AI61)</f>
        <v>0</v>
      </c>
      <c r="AS49" s="43">
        <f>SUM(AJ50:AJ61)</f>
        <v>0</v>
      </c>
      <c r="AT49" s="43">
        <f>SUM(AK50:AK61)</f>
        <v>0</v>
      </c>
    </row>
    <row r="50" spans="1:63" x14ac:dyDescent="0.25">
      <c r="A50" s="4" t="s">
        <v>27</v>
      </c>
      <c r="B50" s="14" t="s">
        <v>323</v>
      </c>
      <c r="C50" s="117" t="s">
        <v>659</v>
      </c>
      <c r="D50" s="118"/>
      <c r="E50" s="118"/>
      <c r="F50" s="14" t="s">
        <v>1024</v>
      </c>
      <c r="G50" s="21">
        <v>6</v>
      </c>
      <c r="H50" s="21">
        <v>0</v>
      </c>
      <c r="I50" s="21">
        <f>G50*AN50</f>
        <v>0</v>
      </c>
      <c r="J50" s="21">
        <f>G50*AO50</f>
        <v>0</v>
      </c>
      <c r="K50" s="21">
        <f>G50*H50</f>
        <v>0</v>
      </c>
      <c r="L50" s="5"/>
      <c r="Y50" s="37">
        <f>IF(AP50="5",BI50,0)</f>
        <v>0</v>
      </c>
      <c r="AA50" s="37">
        <f>IF(AP50="1",BG50,0)</f>
        <v>0</v>
      </c>
      <c r="AB50" s="37">
        <f>IF(AP50="1",BH50,0)</f>
        <v>0</v>
      </c>
      <c r="AC50" s="37">
        <f>IF(AP50="7",BG50,0)</f>
        <v>0</v>
      </c>
      <c r="AD50" s="37">
        <f>IF(AP50="7",BH50,0)</f>
        <v>0</v>
      </c>
      <c r="AE50" s="37">
        <f>IF(AP50="2",BG50,0)</f>
        <v>0</v>
      </c>
      <c r="AF50" s="37">
        <f>IF(AP50="2",BH50,0)</f>
        <v>0</v>
      </c>
      <c r="AG50" s="37">
        <f>IF(AP50="0",BI50,0)</f>
        <v>0</v>
      </c>
      <c r="AH50" s="36"/>
      <c r="AI50" s="21">
        <f>IF(AM50=0,K50,0)</f>
        <v>0</v>
      </c>
      <c r="AJ50" s="21">
        <f>IF(AM50=15,K50,0)</f>
        <v>0</v>
      </c>
      <c r="AK50" s="21">
        <f>IF(AM50=21,K50,0)</f>
        <v>0</v>
      </c>
      <c r="AM50" s="37">
        <v>21</v>
      </c>
      <c r="AN50" s="37">
        <f>H50*0.375262411347518</f>
        <v>0</v>
      </c>
      <c r="AO50" s="37">
        <f>H50*(1-0.375262411347518)</f>
        <v>0</v>
      </c>
      <c r="AP50" s="38" t="s">
        <v>7</v>
      </c>
      <c r="AU50" s="37">
        <f>AV50+AW50</f>
        <v>0</v>
      </c>
      <c r="AV50" s="37">
        <f>G50*AN50</f>
        <v>0</v>
      </c>
      <c r="AW50" s="37">
        <f>G50*AO50</f>
        <v>0</v>
      </c>
      <c r="AX50" s="40" t="s">
        <v>1062</v>
      </c>
      <c r="AY50" s="40" t="s">
        <v>1111</v>
      </c>
      <c r="AZ50" s="36" t="s">
        <v>1122</v>
      </c>
      <c r="BB50" s="37">
        <f>AV50+AW50</f>
        <v>0</v>
      </c>
      <c r="BC50" s="37">
        <f>H50/(100-BD50)*100</f>
        <v>0</v>
      </c>
      <c r="BD50" s="37">
        <v>0</v>
      </c>
      <c r="BE50" s="37">
        <f>50</f>
        <v>50</v>
      </c>
      <c r="BG50" s="21">
        <f>G50*AN50</f>
        <v>0</v>
      </c>
      <c r="BH50" s="21">
        <f>G50*AO50</f>
        <v>0</v>
      </c>
      <c r="BI50" s="21">
        <f>G50*H50</f>
        <v>0</v>
      </c>
      <c r="BJ50" s="21" t="s">
        <v>1127</v>
      </c>
      <c r="BK50" s="37">
        <v>33</v>
      </c>
    </row>
    <row r="51" spans="1:63" x14ac:dyDescent="0.25">
      <c r="A51" s="5"/>
      <c r="C51" s="119" t="s">
        <v>660</v>
      </c>
      <c r="D51" s="120"/>
      <c r="E51" s="120"/>
      <c r="G51" s="22">
        <v>6</v>
      </c>
      <c r="L51" s="5"/>
    </row>
    <row r="52" spans="1:63" x14ac:dyDescent="0.25">
      <c r="A52" s="4" t="s">
        <v>28</v>
      </c>
      <c r="B52" s="14" t="s">
        <v>324</v>
      </c>
      <c r="C52" s="117" t="s">
        <v>661</v>
      </c>
      <c r="D52" s="118"/>
      <c r="E52" s="118"/>
      <c r="F52" s="14" t="s">
        <v>1024</v>
      </c>
      <c r="G52" s="21">
        <v>22</v>
      </c>
      <c r="H52" s="21">
        <v>0</v>
      </c>
      <c r="I52" s="21">
        <f>G52*AN52</f>
        <v>0</v>
      </c>
      <c r="J52" s="21">
        <f>G52*AO52</f>
        <v>0</v>
      </c>
      <c r="K52" s="21">
        <f>G52*H52</f>
        <v>0</v>
      </c>
      <c r="L52" s="5"/>
      <c r="Y52" s="37">
        <f>IF(AP52="5",BI52,0)</f>
        <v>0</v>
      </c>
      <c r="AA52" s="37">
        <f>IF(AP52="1",BG52,0)</f>
        <v>0</v>
      </c>
      <c r="AB52" s="37">
        <f>IF(AP52="1",BH52,0)</f>
        <v>0</v>
      </c>
      <c r="AC52" s="37">
        <f>IF(AP52="7",BG52,0)</f>
        <v>0</v>
      </c>
      <c r="AD52" s="37">
        <f>IF(AP52="7",BH52,0)</f>
        <v>0</v>
      </c>
      <c r="AE52" s="37">
        <f>IF(AP52="2",BG52,0)</f>
        <v>0</v>
      </c>
      <c r="AF52" s="37">
        <f>IF(AP52="2",BH52,0)</f>
        <v>0</v>
      </c>
      <c r="AG52" s="37">
        <f>IF(AP52="0",BI52,0)</f>
        <v>0</v>
      </c>
      <c r="AH52" s="36"/>
      <c r="AI52" s="21">
        <f>IF(AM52=0,K52,0)</f>
        <v>0</v>
      </c>
      <c r="AJ52" s="21">
        <f>IF(AM52=15,K52,0)</f>
        <v>0</v>
      </c>
      <c r="AK52" s="21">
        <f>IF(AM52=21,K52,0)</f>
        <v>0</v>
      </c>
      <c r="AM52" s="37">
        <v>21</v>
      </c>
      <c r="AN52" s="37">
        <f>H52*0.374045174537988</f>
        <v>0</v>
      </c>
      <c r="AO52" s="37">
        <f>H52*(1-0.374045174537988)</f>
        <v>0</v>
      </c>
      <c r="AP52" s="38" t="s">
        <v>7</v>
      </c>
      <c r="AU52" s="37">
        <f>AV52+AW52</f>
        <v>0</v>
      </c>
      <c r="AV52" s="37">
        <f>G52*AN52</f>
        <v>0</v>
      </c>
      <c r="AW52" s="37">
        <f>G52*AO52</f>
        <v>0</v>
      </c>
      <c r="AX52" s="40" t="s">
        <v>1062</v>
      </c>
      <c r="AY52" s="40" t="s">
        <v>1111</v>
      </c>
      <c r="AZ52" s="36" t="s">
        <v>1122</v>
      </c>
      <c r="BB52" s="37">
        <f>AV52+AW52</f>
        <v>0</v>
      </c>
      <c r="BC52" s="37">
        <f>H52/(100-BD52)*100</f>
        <v>0</v>
      </c>
      <c r="BD52" s="37">
        <v>0</v>
      </c>
      <c r="BE52" s="37">
        <f>52</f>
        <v>52</v>
      </c>
      <c r="BG52" s="21">
        <f>G52*AN52</f>
        <v>0</v>
      </c>
      <c r="BH52" s="21">
        <f>G52*AO52</f>
        <v>0</v>
      </c>
      <c r="BI52" s="21">
        <f>G52*H52</f>
        <v>0</v>
      </c>
      <c r="BJ52" s="21" t="s">
        <v>1127</v>
      </c>
      <c r="BK52" s="37">
        <v>33</v>
      </c>
    </row>
    <row r="53" spans="1:63" x14ac:dyDescent="0.25">
      <c r="A53" s="5"/>
      <c r="C53" s="119" t="s">
        <v>662</v>
      </c>
      <c r="D53" s="120"/>
      <c r="E53" s="120"/>
      <c r="G53" s="22">
        <v>22</v>
      </c>
      <c r="L53" s="5"/>
    </row>
    <row r="54" spans="1:63" x14ac:dyDescent="0.25">
      <c r="A54" s="7" t="s">
        <v>29</v>
      </c>
      <c r="B54" s="16" t="s">
        <v>325</v>
      </c>
      <c r="C54" s="123" t="s">
        <v>663</v>
      </c>
      <c r="D54" s="124"/>
      <c r="E54" s="124"/>
      <c r="F54" s="16" t="s">
        <v>1025</v>
      </c>
      <c r="G54" s="23">
        <v>10</v>
      </c>
      <c r="H54" s="23">
        <v>0</v>
      </c>
      <c r="I54" s="23">
        <f>G54*AN54</f>
        <v>0</v>
      </c>
      <c r="J54" s="23">
        <f>G54*AO54</f>
        <v>0</v>
      </c>
      <c r="K54" s="23">
        <f>G54*H54</f>
        <v>0</v>
      </c>
      <c r="L54" s="5"/>
      <c r="Y54" s="37">
        <f>IF(AP54="5",BI54,0)</f>
        <v>0</v>
      </c>
      <c r="AA54" s="37">
        <f>IF(AP54="1",BG54,0)</f>
        <v>0</v>
      </c>
      <c r="AB54" s="37">
        <f>IF(AP54="1",BH54,0)</f>
        <v>0</v>
      </c>
      <c r="AC54" s="37">
        <f>IF(AP54="7",BG54,0)</f>
        <v>0</v>
      </c>
      <c r="AD54" s="37">
        <f>IF(AP54="7",BH54,0)</f>
        <v>0</v>
      </c>
      <c r="AE54" s="37">
        <f>IF(AP54="2",BG54,0)</f>
        <v>0</v>
      </c>
      <c r="AF54" s="37">
        <f>IF(AP54="2",BH54,0)</f>
        <v>0</v>
      </c>
      <c r="AG54" s="37">
        <f>IF(AP54="0",BI54,0)</f>
        <v>0</v>
      </c>
      <c r="AH54" s="36"/>
      <c r="AI54" s="23">
        <f>IF(AM54=0,K54,0)</f>
        <v>0</v>
      </c>
      <c r="AJ54" s="23">
        <f>IF(AM54=15,K54,0)</f>
        <v>0</v>
      </c>
      <c r="AK54" s="23">
        <f>IF(AM54=21,K54,0)</f>
        <v>0</v>
      </c>
      <c r="AM54" s="37">
        <v>21</v>
      </c>
      <c r="AN54" s="37">
        <f>H54*1</f>
        <v>0</v>
      </c>
      <c r="AO54" s="37">
        <f>H54*(1-1)</f>
        <v>0</v>
      </c>
      <c r="AP54" s="39" t="s">
        <v>7</v>
      </c>
      <c r="AU54" s="37">
        <f>AV54+AW54</f>
        <v>0</v>
      </c>
      <c r="AV54" s="37">
        <f>G54*AN54</f>
        <v>0</v>
      </c>
      <c r="AW54" s="37">
        <f>G54*AO54</f>
        <v>0</v>
      </c>
      <c r="AX54" s="40" t="s">
        <v>1062</v>
      </c>
      <c r="AY54" s="40" t="s">
        <v>1111</v>
      </c>
      <c r="AZ54" s="36" t="s">
        <v>1122</v>
      </c>
      <c r="BB54" s="37">
        <f>AV54+AW54</f>
        <v>0</v>
      </c>
      <c r="BC54" s="37">
        <f>H54/(100-BD54)*100</f>
        <v>0</v>
      </c>
      <c r="BD54" s="37">
        <v>0</v>
      </c>
      <c r="BE54" s="37">
        <f>54</f>
        <v>54</v>
      </c>
      <c r="BG54" s="23">
        <f>G54*AN54</f>
        <v>0</v>
      </c>
      <c r="BH54" s="23">
        <f>G54*AO54</f>
        <v>0</v>
      </c>
      <c r="BI54" s="23">
        <f>G54*H54</f>
        <v>0</v>
      </c>
      <c r="BJ54" s="23" t="s">
        <v>1128</v>
      </c>
      <c r="BK54" s="37">
        <v>33</v>
      </c>
    </row>
    <row r="55" spans="1:63" x14ac:dyDescent="0.25">
      <c r="A55" s="5"/>
      <c r="C55" s="119" t="s">
        <v>664</v>
      </c>
      <c r="D55" s="120"/>
      <c r="E55" s="120"/>
      <c r="G55" s="22">
        <v>10</v>
      </c>
      <c r="L55" s="5"/>
    </row>
    <row r="56" spans="1:63" x14ac:dyDescent="0.25">
      <c r="A56" s="5"/>
      <c r="C56" s="119" t="s">
        <v>665</v>
      </c>
      <c r="D56" s="120"/>
      <c r="E56" s="120"/>
      <c r="G56" s="22">
        <v>0</v>
      </c>
      <c r="L56" s="5"/>
    </row>
    <row r="57" spans="1:63" x14ac:dyDescent="0.25">
      <c r="A57" s="7" t="s">
        <v>30</v>
      </c>
      <c r="B57" s="16" t="s">
        <v>326</v>
      </c>
      <c r="C57" s="123" t="s">
        <v>666</v>
      </c>
      <c r="D57" s="124"/>
      <c r="E57" s="124"/>
      <c r="F57" s="16" t="s">
        <v>1024</v>
      </c>
      <c r="G57" s="23">
        <v>10</v>
      </c>
      <c r="H57" s="23">
        <v>0</v>
      </c>
      <c r="I57" s="23">
        <f>G57*AN57</f>
        <v>0</v>
      </c>
      <c r="J57" s="23">
        <f>G57*AO57</f>
        <v>0</v>
      </c>
      <c r="K57" s="23">
        <f>G57*H57</f>
        <v>0</v>
      </c>
      <c r="L57" s="5"/>
      <c r="Y57" s="37">
        <f>IF(AP57="5",BI57,0)</f>
        <v>0</v>
      </c>
      <c r="AA57" s="37">
        <f>IF(AP57="1",BG57,0)</f>
        <v>0</v>
      </c>
      <c r="AB57" s="37">
        <f>IF(AP57="1",BH57,0)</f>
        <v>0</v>
      </c>
      <c r="AC57" s="37">
        <f>IF(AP57="7",BG57,0)</f>
        <v>0</v>
      </c>
      <c r="AD57" s="37">
        <f>IF(AP57="7",BH57,0)</f>
        <v>0</v>
      </c>
      <c r="AE57" s="37">
        <f>IF(AP57="2",BG57,0)</f>
        <v>0</v>
      </c>
      <c r="AF57" s="37">
        <f>IF(AP57="2",BH57,0)</f>
        <v>0</v>
      </c>
      <c r="AG57" s="37">
        <f>IF(AP57="0",BI57,0)</f>
        <v>0</v>
      </c>
      <c r="AH57" s="36"/>
      <c r="AI57" s="23">
        <f>IF(AM57=0,K57,0)</f>
        <v>0</v>
      </c>
      <c r="AJ57" s="23">
        <f>IF(AM57=15,K57,0)</f>
        <v>0</v>
      </c>
      <c r="AK57" s="23">
        <f>IF(AM57=21,K57,0)</f>
        <v>0</v>
      </c>
      <c r="AM57" s="37">
        <v>21</v>
      </c>
      <c r="AN57" s="37">
        <f>H57*1</f>
        <v>0</v>
      </c>
      <c r="AO57" s="37">
        <f>H57*(1-1)</f>
        <v>0</v>
      </c>
      <c r="AP57" s="39" t="s">
        <v>7</v>
      </c>
      <c r="AU57" s="37">
        <f>AV57+AW57</f>
        <v>0</v>
      </c>
      <c r="AV57" s="37">
        <f>G57*AN57</f>
        <v>0</v>
      </c>
      <c r="AW57" s="37">
        <f>G57*AO57</f>
        <v>0</v>
      </c>
      <c r="AX57" s="40" t="s">
        <v>1062</v>
      </c>
      <c r="AY57" s="40" t="s">
        <v>1111</v>
      </c>
      <c r="AZ57" s="36" t="s">
        <v>1122</v>
      </c>
      <c r="BB57" s="37">
        <f>AV57+AW57</f>
        <v>0</v>
      </c>
      <c r="BC57" s="37">
        <f>H57/(100-BD57)*100</f>
        <v>0</v>
      </c>
      <c r="BD57" s="37">
        <v>0</v>
      </c>
      <c r="BE57" s="37">
        <f>57</f>
        <v>57</v>
      </c>
      <c r="BG57" s="23">
        <f>G57*AN57</f>
        <v>0</v>
      </c>
      <c r="BH57" s="23">
        <f>G57*AO57</f>
        <v>0</v>
      </c>
      <c r="BI57" s="23">
        <f>G57*H57</f>
        <v>0</v>
      </c>
      <c r="BJ57" s="23" t="s">
        <v>1128</v>
      </c>
      <c r="BK57" s="37">
        <v>33</v>
      </c>
    </row>
    <row r="58" spans="1:63" x14ac:dyDescent="0.25">
      <c r="A58" s="5"/>
      <c r="C58" s="119" t="s">
        <v>667</v>
      </c>
      <c r="D58" s="120"/>
      <c r="E58" s="120"/>
      <c r="G58" s="22">
        <v>10</v>
      </c>
      <c r="L58" s="5"/>
    </row>
    <row r="59" spans="1:63" x14ac:dyDescent="0.25">
      <c r="A59" s="7" t="s">
        <v>31</v>
      </c>
      <c r="B59" s="16" t="s">
        <v>327</v>
      </c>
      <c r="C59" s="123" t="s">
        <v>668</v>
      </c>
      <c r="D59" s="124"/>
      <c r="E59" s="124"/>
      <c r="F59" s="16" t="s">
        <v>1024</v>
      </c>
      <c r="G59" s="23">
        <v>2</v>
      </c>
      <c r="H59" s="23">
        <v>0</v>
      </c>
      <c r="I59" s="23">
        <f>G59*AN59</f>
        <v>0</v>
      </c>
      <c r="J59" s="23">
        <f>G59*AO59</f>
        <v>0</v>
      </c>
      <c r="K59" s="23">
        <f>G59*H59</f>
        <v>0</v>
      </c>
      <c r="L59" s="5"/>
      <c r="Y59" s="37">
        <f>IF(AP59="5",BI59,0)</f>
        <v>0</v>
      </c>
      <c r="AA59" s="37">
        <f>IF(AP59="1",BG59,0)</f>
        <v>0</v>
      </c>
      <c r="AB59" s="37">
        <f>IF(AP59="1",BH59,0)</f>
        <v>0</v>
      </c>
      <c r="AC59" s="37">
        <f>IF(AP59="7",BG59,0)</f>
        <v>0</v>
      </c>
      <c r="AD59" s="37">
        <f>IF(AP59="7",BH59,0)</f>
        <v>0</v>
      </c>
      <c r="AE59" s="37">
        <f>IF(AP59="2",BG59,0)</f>
        <v>0</v>
      </c>
      <c r="AF59" s="37">
        <f>IF(AP59="2",BH59,0)</f>
        <v>0</v>
      </c>
      <c r="AG59" s="37">
        <f>IF(AP59="0",BI59,0)</f>
        <v>0</v>
      </c>
      <c r="AH59" s="36"/>
      <c r="AI59" s="23">
        <f>IF(AM59=0,K59,0)</f>
        <v>0</v>
      </c>
      <c r="AJ59" s="23">
        <f>IF(AM59=15,K59,0)</f>
        <v>0</v>
      </c>
      <c r="AK59" s="23">
        <f>IF(AM59=21,K59,0)</f>
        <v>0</v>
      </c>
      <c r="AM59" s="37">
        <v>21</v>
      </c>
      <c r="AN59" s="37">
        <f>H59*1</f>
        <v>0</v>
      </c>
      <c r="AO59" s="37">
        <f>H59*(1-1)</f>
        <v>0</v>
      </c>
      <c r="AP59" s="39" t="s">
        <v>7</v>
      </c>
      <c r="AU59" s="37">
        <f>AV59+AW59</f>
        <v>0</v>
      </c>
      <c r="AV59" s="37">
        <f>G59*AN59</f>
        <v>0</v>
      </c>
      <c r="AW59" s="37">
        <f>G59*AO59</f>
        <v>0</v>
      </c>
      <c r="AX59" s="40" t="s">
        <v>1062</v>
      </c>
      <c r="AY59" s="40" t="s">
        <v>1111</v>
      </c>
      <c r="AZ59" s="36" t="s">
        <v>1122</v>
      </c>
      <c r="BB59" s="37">
        <f>AV59+AW59</f>
        <v>0</v>
      </c>
      <c r="BC59" s="37">
        <f>H59/(100-BD59)*100</f>
        <v>0</v>
      </c>
      <c r="BD59" s="37">
        <v>0</v>
      </c>
      <c r="BE59" s="37">
        <f>59</f>
        <v>59</v>
      </c>
      <c r="BG59" s="23">
        <f>G59*AN59</f>
        <v>0</v>
      </c>
      <c r="BH59" s="23">
        <f>G59*AO59</f>
        <v>0</v>
      </c>
      <c r="BI59" s="23">
        <f>G59*H59</f>
        <v>0</v>
      </c>
      <c r="BJ59" s="23" t="s">
        <v>1128</v>
      </c>
      <c r="BK59" s="37">
        <v>33</v>
      </c>
    </row>
    <row r="60" spans="1:63" x14ac:dyDescent="0.25">
      <c r="A60" s="5"/>
      <c r="C60" s="119" t="s">
        <v>669</v>
      </c>
      <c r="D60" s="120"/>
      <c r="E60" s="120"/>
      <c r="G60" s="22">
        <v>2</v>
      </c>
      <c r="L60" s="5"/>
    </row>
    <row r="61" spans="1:63" x14ac:dyDescent="0.25">
      <c r="A61" s="7" t="s">
        <v>32</v>
      </c>
      <c r="B61" s="16" t="s">
        <v>328</v>
      </c>
      <c r="C61" s="123" t="s">
        <v>670</v>
      </c>
      <c r="D61" s="124"/>
      <c r="E61" s="124"/>
      <c r="F61" s="16" t="s">
        <v>1024</v>
      </c>
      <c r="G61" s="23">
        <v>6</v>
      </c>
      <c r="H61" s="23">
        <v>0</v>
      </c>
      <c r="I61" s="23">
        <f>G61*AN61</f>
        <v>0</v>
      </c>
      <c r="J61" s="23">
        <f>G61*AO61</f>
        <v>0</v>
      </c>
      <c r="K61" s="23">
        <f>G61*H61</f>
        <v>0</v>
      </c>
      <c r="L61" s="5"/>
      <c r="Y61" s="37">
        <f>IF(AP61="5",BI61,0)</f>
        <v>0</v>
      </c>
      <c r="AA61" s="37">
        <f>IF(AP61="1",BG61,0)</f>
        <v>0</v>
      </c>
      <c r="AB61" s="37">
        <f>IF(AP61="1",BH61,0)</f>
        <v>0</v>
      </c>
      <c r="AC61" s="37">
        <f>IF(AP61="7",BG61,0)</f>
        <v>0</v>
      </c>
      <c r="AD61" s="37">
        <f>IF(AP61="7",BH61,0)</f>
        <v>0</v>
      </c>
      <c r="AE61" s="37">
        <f>IF(AP61="2",BG61,0)</f>
        <v>0</v>
      </c>
      <c r="AF61" s="37">
        <f>IF(AP61="2",BH61,0)</f>
        <v>0</v>
      </c>
      <c r="AG61" s="37">
        <f>IF(AP61="0",BI61,0)</f>
        <v>0</v>
      </c>
      <c r="AH61" s="36"/>
      <c r="AI61" s="23">
        <f>IF(AM61=0,K61,0)</f>
        <v>0</v>
      </c>
      <c r="AJ61" s="23">
        <f>IF(AM61=15,K61,0)</f>
        <v>0</v>
      </c>
      <c r="AK61" s="23">
        <f>IF(AM61=21,K61,0)</f>
        <v>0</v>
      </c>
      <c r="AM61" s="37">
        <v>21</v>
      </c>
      <c r="AN61" s="37">
        <f>H61*1</f>
        <v>0</v>
      </c>
      <c r="AO61" s="37">
        <f>H61*(1-1)</f>
        <v>0</v>
      </c>
      <c r="AP61" s="39" t="s">
        <v>7</v>
      </c>
      <c r="AU61" s="37">
        <f>AV61+AW61</f>
        <v>0</v>
      </c>
      <c r="AV61" s="37">
        <f>G61*AN61</f>
        <v>0</v>
      </c>
      <c r="AW61" s="37">
        <f>G61*AO61</f>
        <v>0</v>
      </c>
      <c r="AX61" s="40" t="s">
        <v>1062</v>
      </c>
      <c r="AY61" s="40" t="s">
        <v>1111</v>
      </c>
      <c r="AZ61" s="36" t="s">
        <v>1122</v>
      </c>
      <c r="BB61" s="37">
        <f>AV61+AW61</f>
        <v>0</v>
      </c>
      <c r="BC61" s="37">
        <f>H61/(100-BD61)*100</f>
        <v>0</v>
      </c>
      <c r="BD61" s="37">
        <v>0</v>
      </c>
      <c r="BE61" s="37">
        <f>61</f>
        <v>61</v>
      </c>
      <c r="BG61" s="23">
        <f>G61*AN61</f>
        <v>0</v>
      </c>
      <c r="BH61" s="23">
        <f>G61*AO61</f>
        <v>0</v>
      </c>
      <c r="BI61" s="23">
        <f>G61*H61</f>
        <v>0</v>
      </c>
      <c r="BJ61" s="23" t="s">
        <v>1128</v>
      </c>
      <c r="BK61" s="37">
        <v>33</v>
      </c>
    </row>
    <row r="62" spans="1:63" x14ac:dyDescent="0.25">
      <c r="A62" s="5"/>
      <c r="C62" s="119" t="s">
        <v>671</v>
      </c>
      <c r="D62" s="120"/>
      <c r="E62" s="120"/>
      <c r="G62" s="22">
        <v>6</v>
      </c>
      <c r="L62" s="5"/>
    </row>
    <row r="63" spans="1:63" x14ac:dyDescent="0.25">
      <c r="A63" s="6"/>
      <c r="B63" s="15" t="s">
        <v>52</v>
      </c>
      <c r="C63" s="121" t="s">
        <v>672</v>
      </c>
      <c r="D63" s="122"/>
      <c r="E63" s="122"/>
      <c r="F63" s="19" t="s">
        <v>6</v>
      </c>
      <c r="G63" s="19" t="s">
        <v>6</v>
      </c>
      <c r="H63" s="19" t="s">
        <v>6</v>
      </c>
      <c r="I63" s="43">
        <f>SUM(I64:I66)</f>
        <v>0</v>
      </c>
      <c r="J63" s="43">
        <f>SUM(J64:J66)</f>
        <v>0</v>
      </c>
      <c r="K63" s="43">
        <f>SUM(K64:K66)</f>
        <v>0</v>
      </c>
      <c r="L63" s="5"/>
      <c r="AH63" s="36"/>
      <c r="AR63" s="43">
        <f>SUM(AI64:AI66)</f>
        <v>0</v>
      </c>
      <c r="AS63" s="43">
        <f>SUM(AJ64:AJ66)</f>
        <v>0</v>
      </c>
      <c r="AT63" s="43">
        <f>SUM(AK64:AK66)</f>
        <v>0</v>
      </c>
    </row>
    <row r="64" spans="1:63" x14ac:dyDescent="0.25">
      <c r="A64" s="4" t="s">
        <v>33</v>
      </c>
      <c r="B64" s="14" t="s">
        <v>329</v>
      </c>
      <c r="C64" s="117" t="s">
        <v>673</v>
      </c>
      <c r="D64" s="118"/>
      <c r="E64" s="118"/>
      <c r="F64" s="14" t="s">
        <v>1023</v>
      </c>
      <c r="G64" s="21">
        <v>54.86</v>
      </c>
      <c r="H64" s="21">
        <v>0</v>
      </c>
      <c r="I64" s="21">
        <f>G64*AN64</f>
        <v>0</v>
      </c>
      <c r="J64" s="21">
        <f>G64*AO64</f>
        <v>0</v>
      </c>
      <c r="K64" s="21">
        <f>G64*H64</f>
        <v>0</v>
      </c>
      <c r="L64" s="5"/>
      <c r="Y64" s="37">
        <f>IF(AP64="5",BI64,0)</f>
        <v>0</v>
      </c>
      <c r="AA64" s="37">
        <f>IF(AP64="1",BG64,0)</f>
        <v>0</v>
      </c>
      <c r="AB64" s="37">
        <f>IF(AP64="1",BH64,0)</f>
        <v>0</v>
      </c>
      <c r="AC64" s="37">
        <f>IF(AP64="7",BG64,0)</f>
        <v>0</v>
      </c>
      <c r="AD64" s="37">
        <f>IF(AP64="7",BH64,0)</f>
        <v>0</v>
      </c>
      <c r="AE64" s="37">
        <f>IF(AP64="2",BG64,0)</f>
        <v>0</v>
      </c>
      <c r="AF64" s="37">
        <f>IF(AP64="2",BH64,0)</f>
        <v>0</v>
      </c>
      <c r="AG64" s="37">
        <f>IF(AP64="0",BI64,0)</f>
        <v>0</v>
      </c>
      <c r="AH64" s="36"/>
      <c r="AI64" s="21">
        <f>IF(AM64=0,K64,0)</f>
        <v>0</v>
      </c>
      <c r="AJ64" s="21">
        <f>IF(AM64=15,K64,0)</f>
        <v>0</v>
      </c>
      <c r="AK64" s="21">
        <f>IF(AM64=21,K64,0)</f>
        <v>0</v>
      </c>
      <c r="AM64" s="37">
        <v>21</v>
      </c>
      <c r="AN64" s="37">
        <f>H64*0</f>
        <v>0</v>
      </c>
      <c r="AO64" s="37">
        <f>H64*(1-0)</f>
        <v>0</v>
      </c>
      <c r="AP64" s="38" t="s">
        <v>7</v>
      </c>
      <c r="AU64" s="37">
        <f>AV64+AW64</f>
        <v>0</v>
      </c>
      <c r="AV64" s="37">
        <f>G64*AN64</f>
        <v>0</v>
      </c>
      <c r="AW64" s="37">
        <f>G64*AO64</f>
        <v>0</v>
      </c>
      <c r="AX64" s="40" t="s">
        <v>1063</v>
      </c>
      <c r="AY64" s="40" t="s">
        <v>1112</v>
      </c>
      <c r="AZ64" s="36" t="s">
        <v>1122</v>
      </c>
      <c r="BB64" s="37">
        <f>AV64+AW64</f>
        <v>0</v>
      </c>
      <c r="BC64" s="37">
        <f>H64/(100-BD64)*100</f>
        <v>0</v>
      </c>
      <c r="BD64" s="37">
        <v>0</v>
      </c>
      <c r="BE64" s="37">
        <f>64</f>
        <v>64</v>
      </c>
      <c r="BG64" s="21">
        <f>G64*AN64</f>
        <v>0</v>
      </c>
      <c r="BH64" s="21">
        <f>G64*AO64</f>
        <v>0</v>
      </c>
      <c r="BI64" s="21">
        <f>G64*H64</f>
        <v>0</v>
      </c>
      <c r="BJ64" s="21" t="s">
        <v>1127</v>
      </c>
      <c r="BK64" s="37">
        <v>46</v>
      </c>
    </row>
    <row r="65" spans="1:63" x14ac:dyDescent="0.25">
      <c r="A65" s="5"/>
      <c r="C65" s="119" t="s">
        <v>674</v>
      </c>
      <c r="D65" s="120"/>
      <c r="E65" s="120"/>
      <c r="G65" s="22">
        <v>54.86</v>
      </c>
      <c r="L65" s="5"/>
    </row>
    <row r="66" spans="1:63" x14ac:dyDescent="0.25">
      <c r="A66" s="7" t="s">
        <v>34</v>
      </c>
      <c r="B66" s="16" t="s">
        <v>330</v>
      </c>
      <c r="C66" s="123" t="s">
        <v>675</v>
      </c>
      <c r="D66" s="124"/>
      <c r="E66" s="124"/>
      <c r="F66" s="16" t="s">
        <v>1023</v>
      </c>
      <c r="G66" s="23">
        <v>55.96</v>
      </c>
      <c r="H66" s="23">
        <v>0</v>
      </c>
      <c r="I66" s="23">
        <f>G66*AN66</f>
        <v>0</v>
      </c>
      <c r="J66" s="23">
        <f>G66*AO66</f>
        <v>0</v>
      </c>
      <c r="K66" s="23">
        <f>G66*H66</f>
        <v>0</v>
      </c>
      <c r="L66" s="5"/>
      <c r="Y66" s="37">
        <f>IF(AP66="5",BI66,0)</f>
        <v>0</v>
      </c>
      <c r="AA66" s="37">
        <f>IF(AP66="1",BG66,0)</f>
        <v>0</v>
      </c>
      <c r="AB66" s="37">
        <f>IF(AP66="1",BH66,0)</f>
        <v>0</v>
      </c>
      <c r="AC66" s="37">
        <f>IF(AP66="7",BG66,0)</f>
        <v>0</v>
      </c>
      <c r="AD66" s="37">
        <f>IF(AP66="7",BH66,0)</f>
        <v>0</v>
      </c>
      <c r="AE66" s="37">
        <f>IF(AP66="2",BG66,0)</f>
        <v>0</v>
      </c>
      <c r="AF66" s="37">
        <f>IF(AP66="2",BH66,0)</f>
        <v>0</v>
      </c>
      <c r="AG66" s="37">
        <f>IF(AP66="0",BI66,0)</f>
        <v>0</v>
      </c>
      <c r="AH66" s="36"/>
      <c r="AI66" s="23">
        <f>IF(AM66=0,K66,0)</f>
        <v>0</v>
      </c>
      <c r="AJ66" s="23">
        <f>IF(AM66=15,K66,0)</f>
        <v>0</v>
      </c>
      <c r="AK66" s="23">
        <f>IF(AM66=21,K66,0)</f>
        <v>0</v>
      </c>
      <c r="AM66" s="37">
        <v>21</v>
      </c>
      <c r="AN66" s="37">
        <f>H66*1</f>
        <v>0</v>
      </c>
      <c r="AO66" s="37">
        <f>H66*(1-1)</f>
        <v>0</v>
      </c>
      <c r="AP66" s="39" t="s">
        <v>7</v>
      </c>
      <c r="AU66" s="37">
        <f>AV66+AW66</f>
        <v>0</v>
      </c>
      <c r="AV66" s="37">
        <f>G66*AN66</f>
        <v>0</v>
      </c>
      <c r="AW66" s="37">
        <f>G66*AO66</f>
        <v>0</v>
      </c>
      <c r="AX66" s="40" t="s">
        <v>1063</v>
      </c>
      <c r="AY66" s="40" t="s">
        <v>1112</v>
      </c>
      <c r="AZ66" s="36" t="s">
        <v>1122</v>
      </c>
      <c r="BB66" s="37">
        <f>AV66+AW66</f>
        <v>0</v>
      </c>
      <c r="BC66" s="37">
        <f>H66/(100-BD66)*100</f>
        <v>0</v>
      </c>
      <c r="BD66" s="37">
        <v>0</v>
      </c>
      <c r="BE66" s="37">
        <f>66</f>
        <v>66</v>
      </c>
      <c r="BG66" s="23">
        <f>G66*AN66</f>
        <v>0</v>
      </c>
      <c r="BH66" s="23">
        <f>G66*AO66</f>
        <v>0</v>
      </c>
      <c r="BI66" s="23">
        <f>G66*H66</f>
        <v>0</v>
      </c>
      <c r="BJ66" s="23" t="s">
        <v>1128</v>
      </c>
      <c r="BK66" s="37">
        <v>46</v>
      </c>
    </row>
    <row r="67" spans="1:63" x14ac:dyDescent="0.25">
      <c r="A67" s="5"/>
      <c r="C67" s="119" t="s">
        <v>676</v>
      </c>
      <c r="D67" s="120"/>
      <c r="E67" s="120"/>
      <c r="G67" s="22">
        <v>55.96</v>
      </c>
      <c r="L67" s="5"/>
    </row>
    <row r="68" spans="1:63" x14ac:dyDescent="0.25">
      <c r="A68" s="6"/>
      <c r="B68" s="15" t="s">
        <v>67</v>
      </c>
      <c r="C68" s="121" t="s">
        <v>677</v>
      </c>
      <c r="D68" s="122"/>
      <c r="E68" s="122"/>
      <c r="F68" s="19" t="s">
        <v>6</v>
      </c>
      <c r="G68" s="19" t="s">
        <v>6</v>
      </c>
      <c r="H68" s="19" t="s">
        <v>6</v>
      </c>
      <c r="I68" s="43">
        <f>SUM(I69:I74)</f>
        <v>0</v>
      </c>
      <c r="J68" s="43">
        <f>SUM(J69:J74)</f>
        <v>0</v>
      </c>
      <c r="K68" s="43">
        <f>SUM(K69:K74)</f>
        <v>0</v>
      </c>
      <c r="L68" s="5"/>
      <c r="AH68" s="36"/>
      <c r="AR68" s="43">
        <f>SUM(AI69:AI74)</f>
        <v>0</v>
      </c>
      <c r="AS68" s="43">
        <f>SUM(AJ69:AJ74)</f>
        <v>0</v>
      </c>
      <c r="AT68" s="43">
        <f>SUM(AK69:AK74)</f>
        <v>0</v>
      </c>
    </row>
    <row r="69" spans="1:63" x14ac:dyDescent="0.25">
      <c r="A69" s="4" t="s">
        <v>35</v>
      </c>
      <c r="B69" s="14" t="s">
        <v>331</v>
      </c>
      <c r="C69" s="117" t="s">
        <v>678</v>
      </c>
      <c r="D69" s="118"/>
      <c r="E69" s="118"/>
      <c r="F69" s="14" t="s">
        <v>1023</v>
      </c>
      <c r="G69" s="21">
        <v>19.3</v>
      </c>
      <c r="H69" s="21">
        <v>0</v>
      </c>
      <c r="I69" s="21">
        <f>G69*AN69</f>
        <v>0</v>
      </c>
      <c r="J69" s="21">
        <f>G69*AO69</f>
        <v>0</v>
      </c>
      <c r="K69" s="21">
        <f>G69*H69</f>
        <v>0</v>
      </c>
      <c r="L69" s="5"/>
      <c r="Y69" s="37">
        <f>IF(AP69="5",BI69,0)</f>
        <v>0</v>
      </c>
      <c r="AA69" s="37">
        <f>IF(AP69="1",BG69,0)</f>
        <v>0</v>
      </c>
      <c r="AB69" s="37">
        <f>IF(AP69="1",BH69,0)</f>
        <v>0</v>
      </c>
      <c r="AC69" s="37">
        <f>IF(AP69="7",BG69,0)</f>
        <v>0</v>
      </c>
      <c r="AD69" s="37">
        <f>IF(AP69="7",BH69,0)</f>
        <v>0</v>
      </c>
      <c r="AE69" s="37">
        <f>IF(AP69="2",BG69,0)</f>
        <v>0</v>
      </c>
      <c r="AF69" s="37">
        <f>IF(AP69="2",BH69,0)</f>
        <v>0</v>
      </c>
      <c r="AG69" s="37">
        <f>IF(AP69="0",BI69,0)</f>
        <v>0</v>
      </c>
      <c r="AH69" s="36"/>
      <c r="AI69" s="21">
        <f>IF(AM69=0,K69,0)</f>
        <v>0</v>
      </c>
      <c r="AJ69" s="21">
        <f>IF(AM69=15,K69,0)</f>
        <v>0</v>
      </c>
      <c r="AK69" s="21">
        <f>IF(AM69=21,K69,0)</f>
        <v>0</v>
      </c>
      <c r="AM69" s="37">
        <v>21</v>
      </c>
      <c r="AN69" s="37">
        <f>H69*0.0486727619047619</f>
        <v>0</v>
      </c>
      <c r="AO69" s="37">
        <f>H69*(1-0.0486727619047619)</f>
        <v>0</v>
      </c>
      <c r="AP69" s="38" t="s">
        <v>7</v>
      </c>
      <c r="AU69" s="37">
        <f>AV69+AW69</f>
        <v>0</v>
      </c>
      <c r="AV69" s="37">
        <f>G69*AN69</f>
        <v>0</v>
      </c>
      <c r="AW69" s="37">
        <f>G69*AO69</f>
        <v>0</v>
      </c>
      <c r="AX69" s="40" t="s">
        <v>1064</v>
      </c>
      <c r="AY69" s="40" t="s">
        <v>1113</v>
      </c>
      <c r="AZ69" s="36" t="s">
        <v>1122</v>
      </c>
      <c r="BB69" s="37">
        <f>AV69+AW69</f>
        <v>0</v>
      </c>
      <c r="BC69" s="37">
        <f>H69/(100-BD69)*100</f>
        <v>0</v>
      </c>
      <c r="BD69" s="37">
        <v>0</v>
      </c>
      <c r="BE69" s="37">
        <f>69</f>
        <v>69</v>
      </c>
      <c r="BG69" s="21">
        <f>G69*AN69</f>
        <v>0</v>
      </c>
      <c r="BH69" s="21">
        <f>G69*AO69</f>
        <v>0</v>
      </c>
      <c r="BI69" s="21">
        <f>G69*H69</f>
        <v>0</v>
      </c>
      <c r="BJ69" s="21" t="s">
        <v>1127</v>
      </c>
      <c r="BK69" s="37">
        <v>61</v>
      </c>
    </row>
    <row r="70" spans="1:63" x14ac:dyDescent="0.25">
      <c r="A70" s="5"/>
      <c r="C70" s="119" t="s">
        <v>679</v>
      </c>
      <c r="D70" s="120"/>
      <c r="E70" s="120"/>
      <c r="G70" s="22">
        <v>19.3</v>
      </c>
      <c r="L70" s="5"/>
    </row>
    <row r="71" spans="1:63" x14ac:dyDescent="0.25">
      <c r="A71" s="4" t="s">
        <v>36</v>
      </c>
      <c r="B71" s="14" t="s">
        <v>332</v>
      </c>
      <c r="C71" s="117" t="s">
        <v>680</v>
      </c>
      <c r="D71" s="118"/>
      <c r="E71" s="118"/>
      <c r="F71" s="14" t="s">
        <v>1023</v>
      </c>
      <c r="G71" s="21">
        <v>3</v>
      </c>
      <c r="H71" s="21">
        <v>0</v>
      </c>
      <c r="I71" s="21">
        <f>G71*AN71</f>
        <v>0</v>
      </c>
      <c r="J71" s="21">
        <f>G71*AO71</f>
        <v>0</v>
      </c>
      <c r="K71" s="21">
        <f>G71*H71</f>
        <v>0</v>
      </c>
      <c r="L71" s="5"/>
      <c r="Y71" s="37">
        <f>IF(AP71="5",BI71,0)</f>
        <v>0</v>
      </c>
      <c r="AA71" s="37">
        <f>IF(AP71="1",BG71,0)</f>
        <v>0</v>
      </c>
      <c r="AB71" s="37">
        <f>IF(AP71="1",BH71,0)</f>
        <v>0</v>
      </c>
      <c r="AC71" s="37">
        <f>IF(AP71="7",BG71,0)</f>
        <v>0</v>
      </c>
      <c r="AD71" s="37">
        <f>IF(AP71="7",BH71,0)</f>
        <v>0</v>
      </c>
      <c r="AE71" s="37">
        <f>IF(AP71="2",BG71,0)</f>
        <v>0</v>
      </c>
      <c r="AF71" s="37">
        <f>IF(AP71="2",BH71,0)</f>
        <v>0</v>
      </c>
      <c r="AG71" s="37">
        <f>IF(AP71="0",BI71,0)</f>
        <v>0</v>
      </c>
      <c r="AH71" s="36"/>
      <c r="AI71" s="21">
        <f>IF(AM71=0,K71,0)</f>
        <v>0</v>
      </c>
      <c r="AJ71" s="21">
        <f>IF(AM71=15,K71,0)</f>
        <v>0</v>
      </c>
      <c r="AK71" s="21">
        <f>IF(AM71=21,K71,0)</f>
        <v>0</v>
      </c>
      <c r="AM71" s="37">
        <v>21</v>
      </c>
      <c r="AN71" s="37">
        <f>H71*0.255427728613569</f>
        <v>0</v>
      </c>
      <c r="AO71" s="37">
        <f>H71*(1-0.255427728613569)</f>
        <v>0</v>
      </c>
      <c r="AP71" s="38" t="s">
        <v>7</v>
      </c>
      <c r="AU71" s="37">
        <f>AV71+AW71</f>
        <v>0</v>
      </c>
      <c r="AV71" s="37">
        <f>G71*AN71</f>
        <v>0</v>
      </c>
      <c r="AW71" s="37">
        <f>G71*AO71</f>
        <v>0</v>
      </c>
      <c r="AX71" s="40" t="s">
        <v>1064</v>
      </c>
      <c r="AY71" s="40" t="s">
        <v>1113</v>
      </c>
      <c r="AZ71" s="36" t="s">
        <v>1122</v>
      </c>
      <c r="BB71" s="37">
        <f>AV71+AW71</f>
        <v>0</v>
      </c>
      <c r="BC71" s="37">
        <f>H71/(100-BD71)*100</f>
        <v>0</v>
      </c>
      <c r="BD71" s="37">
        <v>0</v>
      </c>
      <c r="BE71" s="37">
        <f>71</f>
        <v>71</v>
      </c>
      <c r="BG71" s="21">
        <f>G71*AN71</f>
        <v>0</v>
      </c>
      <c r="BH71" s="21">
        <f>G71*AO71</f>
        <v>0</v>
      </c>
      <c r="BI71" s="21">
        <f>G71*H71</f>
        <v>0</v>
      </c>
      <c r="BJ71" s="21" t="s">
        <v>1127</v>
      </c>
      <c r="BK71" s="37">
        <v>61</v>
      </c>
    </row>
    <row r="72" spans="1:63" x14ac:dyDescent="0.25">
      <c r="A72" s="4" t="s">
        <v>37</v>
      </c>
      <c r="B72" s="14" t="s">
        <v>333</v>
      </c>
      <c r="C72" s="117" t="s">
        <v>681</v>
      </c>
      <c r="D72" s="118"/>
      <c r="E72" s="118"/>
      <c r="F72" s="14" t="s">
        <v>1023</v>
      </c>
      <c r="G72" s="21">
        <v>7.2</v>
      </c>
      <c r="H72" s="21">
        <v>0</v>
      </c>
      <c r="I72" s="21">
        <f>G72*AN72</f>
        <v>0</v>
      </c>
      <c r="J72" s="21">
        <f>G72*AO72</f>
        <v>0</v>
      </c>
      <c r="K72" s="21">
        <f>G72*H72</f>
        <v>0</v>
      </c>
      <c r="L72" s="5"/>
      <c r="Y72" s="37">
        <f>IF(AP72="5",BI72,0)</f>
        <v>0</v>
      </c>
      <c r="AA72" s="37">
        <f>IF(AP72="1",BG72,0)</f>
        <v>0</v>
      </c>
      <c r="AB72" s="37">
        <f>IF(AP72="1",BH72,0)</f>
        <v>0</v>
      </c>
      <c r="AC72" s="37">
        <f>IF(AP72="7",BG72,0)</f>
        <v>0</v>
      </c>
      <c r="AD72" s="37">
        <f>IF(AP72="7",BH72,0)</f>
        <v>0</v>
      </c>
      <c r="AE72" s="37">
        <f>IF(AP72="2",BG72,0)</f>
        <v>0</v>
      </c>
      <c r="AF72" s="37">
        <f>IF(AP72="2",BH72,0)</f>
        <v>0</v>
      </c>
      <c r="AG72" s="37">
        <f>IF(AP72="0",BI72,0)</f>
        <v>0</v>
      </c>
      <c r="AH72" s="36"/>
      <c r="AI72" s="21">
        <f>IF(AM72=0,K72,0)</f>
        <v>0</v>
      </c>
      <c r="AJ72" s="21">
        <f>IF(AM72=15,K72,0)</f>
        <v>0</v>
      </c>
      <c r="AK72" s="21">
        <f>IF(AM72=21,K72,0)</f>
        <v>0</v>
      </c>
      <c r="AM72" s="37">
        <v>21</v>
      </c>
      <c r="AN72" s="37">
        <f>H72*0.163051546391753</f>
        <v>0</v>
      </c>
      <c r="AO72" s="37">
        <f>H72*(1-0.163051546391753)</f>
        <v>0</v>
      </c>
      <c r="AP72" s="38" t="s">
        <v>7</v>
      </c>
      <c r="AU72" s="37">
        <f>AV72+AW72</f>
        <v>0</v>
      </c>
      <c r="AV72" s="37">
        <f>G72*AN72</f>
        <v>0</v>
      </c>
      <c r="AW72" s="37">
        <f>G72*AO72</f>
        <v>0</v>
      </c>
      <c r="AX72" s="40" t="s">
        <v>1064</v>
      </c>
      <c r="AY72" s="40" t="s">
        <v>1113</v>
      </c>
      <c r="AZ72" s="36" t="s">
        <v>1122</v>
      </c>
      <c r="BB72" s="37">
        <f>AV72+AW72</f>
        <v>0</v>
      </c>
      <c r="BC72" s="37">
        <f>H72/(100-BD72)*100</f>
        <v>0</v>
      </c>
      <c r="BD72" s="37">
        <v>0</v>
      </c>
      <c r="BE72" s="37">
        <f>72</f>
        <v>72</v>
      </c>
      <c r="BG72" s="21">
        <f>G72*AN72</f>
        <v>0</v>
      </c>
      <c r="BH72" s="21">
        <f>G72*AO72</f>
        <v>0</v>
      </c>
      <c r="BI72" s="21">
        <f>G72*H72</f>
        <v>0</v>
      </c>
      <c r="BJ72" s="21" t="s">
        <v>1127</v>
      </c>
      <c r="BK72" s="37">
        <v>61</v>
      </c>
    </row>
    <row r="73" spans="1:63" x14ac:dyDescent="0.25">
      <c r="A73" s="5"/>
      <c r="C73" s="119" t="s">
        <v>682</v>
      </c>
      <c r="D73" s="120"/>
      <c r="E73" s="120"/>
      <c r="G73" s="22">
        <v>7.2</v>
      </c>
      <c r="L73" s="5"/>
    </row>
    <row r="74" spans="1:63" x14ac:dyDescent="0.25">
      <c r="A74" s="4" t="s">
        <v>38</v>
      </c>
      <c r="B74" s="14" t="s">
        <v>334</v>
      </c>
      <c r="C74" s="117" t="s">
        <v>683</v>
      </c>
      <c r="D74" s="118"/>
      <c r="E74" s="118"/>
      <c r="F74" s="14" t="s">
        <v>1024</v>
      </c>
      <c r="G74" s="21">
        <v>5</v>
      </c>
      <c r="H74" s="21">
        <v>0</v>
      </c>
      <c r="I74" s="21">
        <f>G74*AN74</f>
        <v>0</v>
      </c>
      <c r="J74" s="21">
        <f>G74*AO74</f>
        <v>0</v>
      </c>
      <c r="K74" s="21">
        <f>G74*H74</f>
        <v>0</v>
      </c>
      <c r="L74" s="5"/>
      <c r="Y74" s="37">
        <f>IF(AP74="5",BI74,0)</f>
        <v>0</v>
      </c>
      <c r="AA74" s="37">
        <f>IF(AP74="1",BG74,0)</f>
        <v>0</v>
      </c>
      <c r="AB74" s="37">
        <f>IF(AP74="1",BH74,0)</f>
        <v>0</v>
      </c>
      <c r="AC74" s="37">
        <f>IF(AP74="7",BG74,0)</f>
        <v>0</v>
      </c>
      <c r="AD74" s="37">
        <f>IF(AP74="7",BH74,0)</f>
        <v>0</v>
      </c>
      <c r="AE74" s="37">
        <f>IF(AP74="2",BG74,0)</f>
        <v>0</v>
      </c>
      <c r="AF74" s="37">
        <f>IF(AP74="2",BH74,0)</f>
        <v>0</v>
      </c>
      <c r="AG74" s="37">
        <f>IF(AP74="0",BI74,0)</f>
        <v>0</v>
      </c>
      <c r="AH74" s="36"/>
      <c r="AI74" s="21">
        <f>IF(AM74=0,K74,0)</f>
        <v>0</v>
      </c>
      <c r="AJ74" s="21">
        <f>IF(AM74=15,K74,0)</f>
        <v>0</v>
      </c>
      <c r="AK74" s="21">
        <f>IF(AM74=21,K74,0)</f>
        <v>0</v>
      </c>
      <c r="AM74" s="37">
        <v>21</v>
      </c>
      <c r="AN74" s="37">
        <f>H74*0.164732824427481</f>
        <v>0</v>
      </c>
      <c r="AO74" s="37">
        <f>H74*(1-0.164732824427481)</f>
        <v>0</v>
      </c>
      <c r="AP74" s="38" t="s">
        <v>7</v>
      </c>
      <c r="AU74" s="37">
        <f>AV74+AW74</f>
        <v>0</v>
      </c>
      <c r="AV74" s="37">
        <f>G74*AN74</f>
        <v>0</v>
      </c>
      <c r="AW74" s="37">
        <f>G74*AO74</f>
        <v>0</v>
      </c>
      <c r="AX74" s="40" t="s">
        <v>1064</v>
      </c>
      <c r="AY74" s="40" t="s">
        <v>1113</v>
      </c>
      <c r="AZ74" s="36" t="s">
        <v>1122</v>
      </c>
      <c r="BB74" s="37">
        <f>AV74+AW74</f>
        <v>0</v>
      </c>
      <c r="BC74" s="37">
        <f>H74/(100-BD74)*100</f>
        <v>0</v>
      </c>
      <c r="BD74" s="37">
        <v>0</v>
      </c>
      <c r="BE74" s="37">
        <f>74</f>
        <v>74</v>
      </c>
      <c r="BG74" s="21">
        <f>G74*AN74</f>
        <v>0</v>
      </c>
      <c r="BH74" s="21">
        <f>G74*AO74</f>
        <v>0</v>
      </c>
      <c r="BI74" s="21">
        <f>G74*H74</f>
        <v>0</v>
      </c>
      <c r="BJ74" s="21" t="s">
        <v>1127</v>
      </c>
      <c r="BK74" s="37">
        <v>61</v>
      </c>
    </row>
    <row r="75" spans="1:63" x14ac:dyDescent="0.25">
      <c r="A75" s="6"/>
      <c r="B75" s="15" t="s">
        <v>68</v>
      </c>
      <c r="C75" s="121" t="s">
        <v>684</v>
      </c>
      <c r="D75" s="122"/>
      <c r="E75" s="122"/>
      <c r="F75" s="19" t="s">
        <v>6</v>
      </c>
      <c r="G75" s="19" t="s">
        <v>6</v>
      </c>
      <c r="H75" s="19" t="s">
        <v>6</v>
      </c>
      <c r="I75" s="43">
        <f>SUM(I76:I76)</f>
        <v>0</v>
      </c>
      <c r="J75" s="43">
        <f>SUM(J76:J76)</f>
        <v>0</v>
      </c>
      <c r="K75" s="43">
        <f>SUM(K76:K76)</f>
        <v>0</v>
      </c>
      <c r="L75" s="5"/>
      <c r="AH75" s="36"/>
      <c r="AR75" s="43">
        <f>SUM(AI76:AI76)</f>
        <v>0</v>
      </c>
      <c r="AS75" s="43">
        <f>SUM(AJ76:AJ76)</f>
        <v>0</v>
      </c>
      <c r="AT75" s="43">
        <f>SUM(AK76:AK76)</f>
        <v>0</v>
      </c>
    </row>
    <row r="76" spans="1:63" x14ac:dyDescent="0.25">
      <c r="A76" s="4" t="s">
        <v>39</v>
      </c>
      <c r="B76" s="14" t="s">
        <v>335</v>
      </c>
      <c r="C76" s="117" t="s">
        <v>685</v>
      </c>
      <c r="D76" s="118"/>
      <c r="E76" s="118"/>
      <c r="F76" s="14" t="s">
        <v>1023</v>
      </c>
      <c r="G76" s="21">
        <v>0.5</v>
      </c>
      <c r="H76" s="21">
        <v>0</v>
      </c>
      <c r="I76" s="21">
        <f>G76*AN76</f>
        <v>0</v>
      </c>
      <c r="J76" s="21">
        <f>G76*AO76</f>
        <v>0</v>
      </c>
      <c r="K76" s="21">
        <f>G76*H76</f>
        <v>0</v>
      </c>
      <c r="L76" s="5"/>
      <c r="Y76" s="37">
        <f>IF(AP76="5",BI76,0)</f>
        <v>0</v>
      </c>
      <c r="AA76" s="37">
        <f>IF(AP76="1",BG76,0)</f>
        <v>0</v>
      </c>
      <c r="AB76" s="37">
        <f>IF(AP76="1",BH76,0)</f>
        <v>0</v>
      </c>
      <c r="AC76" s="37">
        <f>IF(AP76="7",BG76,0)</f>
        <v>0</v>
      </c>
      <c r="AD76" s="37">
        <f>IF(AP76="7",BH76,0)</f>
        <v>0</v>
      </c>
      <c r="AE76" s="37">
        <f>IF(AP76="2",BG76,0)</f>
        <v>0</v>
      </c>
      <c r="AF76" s="37">
        <f>IF(AP76="2",BH76,0)</f>
        <v>0</v>
      </c>
      <c r="AG76" s="37">
        <f>IF(AP76="0",BI76,0)</f>
        <v>0</v>
      </c>
      <c r="AH76" s="36"/>
      <c r="AI76" s="21">
        <f>IF(AM76=0,K76,0)</f>
        <v>0</v>
      </c>
      <c r="AJ76" s="21">
        <f>IF(AM76=15,K76,0)</f>
        <v>0</v>
      </c>
      <c r="AK76" s="21">
        <f>IF(AM76=21,K76,0)</f>
        <v>0</v>
      </c>
      <c r="AM76" s="37">
        <v>21</v>
      </c>
      <c r="AN76" s="37">
        <f>H76*0.209847328244275</f>
        <v>0</v>
      </c>
      <c r="AO76" s="37">
        <f>H76*(1-0.209847328244275)</f>
        <v>0</v>
      </c>
      <c r="AP76" s="38" t="s">
        <v>7</v>
      </c>
      <c r="AU76" s="37">
        <f>AV76+AW76</f>
        <v>0</v>
      </c>
      <c r="AV76" s="37">
        <f>G76*AN76</f>
        <v>0</v>
      </c>
      <c r="AW76" s="37">
        <f>G76*AO76</f>
        <v>0</v>
      </c>
      <c r="AX76" s="40" t="s">
        <v>1065</v>
      </c>
      <c r="AY76" s="40" t="s">
        <v>1113</v>
      </c>
      <c r="AZ76" s="36" t="s">
        <v>1122</v>
      </c>
      <c r="BB76" s="37">
        <f>AV76+AW76</f>
        <v>0</v>
      </c>
      <c r="BC76" s="37">
        <f>H76/(100-BD76)*100</f>
        <v>0</v>
      </c>
      <c r="BD76" s="37">
        <v>0</v>
      </c>
      <c r="BE76" s="37">
        <f>76</f>
        <v>76</v>
      </c>
      <c r="BG76" s="21">
        <f>G76*AN76</f>
        <v>0</v>
      </c>
      <c r="BH76" s="21">
        <f>G76*AO76</f>
        <v>0</v>
      </c>
      <c r="BI76" s="21">
        <f>G76*H76</f>
        <v>0</v>
      </c>
      <c r="BJ76" s="21" t="s">
        <v>1127</v>
      </c>
      <c r="BK76" s="37">
        <v>62</v>
      </c>
    </row>
    <row r="77" spans="1:63" x14ac:dyDescent="0.25">
      <c r="A77" s="6"/>
      <c r="B77" s="15" t="s">
        <v>69</v>
      </c>
      <c r="C77" s="121" t="s">
        <v>686</v>
      </c>
      <c r="D77" s="122"/>
      <c r="E77" s="122"/>
      <c r="F77" s="19" t="s">
        <v>6</v>
      </c>
      <c r="G77" s="19" t="s">
        <v>6</v>
      </c>
      <c r="H77" s="19" t="s">
        <v>6</v>
      </c>
      <c r="I77" s="43">
        <f>SUM(I78:I78)</f>
        <v>0</v>
      </c>
      <c r="J77" s="43">
        <f>SUM(J78:J78)</f>
        <v>0</v>
      </c>
      <c r="K77" s="43">
        <f>SUM(K78:K78)</f>
        <v>0</v>
      </c>
      <c r="L77" s="5"/>
      <c r="AH77" s="36"/>
      <c r="AR77" s="43">
        <f>SUM(AI78:AI78)</f>
        <v>0</v>
      </c>
      <c r="AS77" s="43">
        <f>SUM(AJ78:AJ78)</f>
        <v>0</v>
      </c>
      <c r="AT77" s="43">
        <f>SUM(AK78:AK78)</f>
        <v>0</v>
      </c>
    </row>
    <row r="78" spans="1:63" x14ac:dyDescent="0.25">
      <c r="A78" s="4" t="s">
        <v>40</v>
      </c>
      <c r="B78" s="14" t="s">
        <v>336</v>
      </c>
      <c r="C78" s="117" t="s">
        <v>687</v>
      </c>
      <c r="D78" s="118"/>
      <c r="E78" s="118"/>
      <c r="F78" s="14" t="s">
        <v>1021</v>
      </c>
      <c r="G78" s="21">
        <v>0.18</v>
      </c>
      <c r="H78" s="21">
        <v>0</v>
      </c>
      <c r="I78" s="21">
        <f>G78*AN78</f>
        <v>0</v>
      </c>
      <c r="J78" s="21">
        <f>G78*AO78</f>
        <v>0</v>
      </c>
      <c r="K78" s="21">
        <f>G78*H78</f>
        <v>0</v>
      </c>
      <c r="L78" s="5"/>
      <c r="Y78" s="37">
        <f>IF(AP78="5",BI78,0)</f>
        <v>0</v>
      </c>
      <c r="AA78" s="37">
        <f>IF(AP78="1",BG78,0)</f>
        <v>0</v>
      </c>
      <c r="AB78" s="37">
        <f>IF(AP78="1",BH78,0)</f>
        <v>0</v>
      </c>
      <c r="AC78" s="37">
        <f>IF(AP78="7",BG78,0)</f>
        <v>0</v>
      </c>
      <c r="AD78" s="37">
        <f>IF(AP78="7",BH78,0)</f>
        <v>0</v>
      </c>
      <c r="AE78" s="37">
        <f>IF(AP78="2",BG78,0)</f>
        <v>0</v>
      </c>
      <c r="AF78" s="37">
        <f>IF(AP78="2",BH78,0)</f>
        <v>0</v>
      </c>
      <c r="AG78" s="37">
        <f>IF(AP78="0",BI78,0)</f>
        <v>0</v>
      </c>
      <c r="AH78" s="36"/>
      <c r="AI78" s="21">
        <f>IF(AM78=0,K78,0)</f>
        <v>0</v>
      </c>
      <c r="AJ78" s="21">
        <f>IF(AM78=15,K78,0)</f>
        <v>0</v>
      </c>
      <c r="AK78" s="21">
        <f>IF(AM78=21,K78,0)</f>
        <v>0</v>
      </c>
      <c r="AM78" s="37">
        <v>21</v>
      </c>
      <c r="AN78" s="37">
        <f>H78*0.73719586645469</f>
        <v>0</v>
      </c>
      <c r="AO78" s="37">
        <f>H78*(1-0.73719586645469)</f>
        <v>0</v>
      </c>
      <c r="AP78" s="38" t="s">
        <v>7</v>
      </c>
      <c r="AU78" s="37">
        <f>AV78+AW78</f>
        <v>0</v>
      </c>
      <c r="AV78" s="37">
        <f>G78*AN78</f>
        <v>0</v>
      </c>
      <c r="AW78" s="37">
        <f>G78*AO78</f>
        <v>0</v>
      </c>
      <c r="AX78" s="40" t="s">
        <v>1066</v>
      </c>
      <c r="AY78" s="40" t="s">
        <v>1113</v>
      </c>
      <c r="AZ78" s="36" t="s">
        <v>1122</v>
      </c>
      <c r="BB78" s="37">
        <f>AV78+AW78</f>
        <v>0</v>
      </c>
      <c r="BC78" s="37">
        <f>H78/(100-BD78)*100</f>
        <v>0</v>
      </c>
      <c r="BD78" s="37">
        <v>0</v>
      </c>
      <c r="BE78" s="37">
        <f>78</f>
        <v>78</v>
      </c>
      <c r="BG78" s="21">
        <f>G78*AN78</f>
        <v>0</v>
      </c>
      <c r="BH78" s="21">
        <f>G78*AO78</f>
        <v>0</v>
      </c>
      <c r="BI78" s="21">
        <f>G78*H78</f>
        <v>0</v>
      </c>
      <c r="BJ78" s="21" t="s">
        <v>1127</v>
      </c>
      <c r="BK78" s="37">
        <v>63</v>
      </c>
    </row>
    <row r="79" spans="1:63" x14ac:dyDescent="0.25">
      <c r="A79" s="5"/>
      <c r="C79" s="119" t="s">
        <v>688</v>
      </c>
      <c r="D79" s="120"/>
      <c r="E79" s="120"/>
      <c r="G79" s="22">
        <v>0.18</v>
      </c>
      <c r="L79" s="5"/>
    </row>
    <row r="80" spans="1:63" x14ac:dyDescent="0.25">
      <c r="A80" s="6"/>
      <c r="B80" s="15" t="s">
        <v>70</v>
      </c>
      <c r="C80" s="121" t="s">
        <v>689</v>
      </c>
      <c r="D80" s="122"/>
      <c r="E80" s="122"/>
      <c r="F80" s="19" t="s">
        <v>6</v>
      </c>
      <c r="G80" s="19" t="s">
        <v>6</v>
      </c>
      <c r="H80" s="19" t="s">
        <v>6</v>
      </c>
      <c r="I80" s="43">
        <f>SUM(I81:I87)</f>
        <v>0</v>
      </c>
      <c r="J80" s="43">
        <f>SUM(J81:J87)</f>
        <v>0</v>
      </c>
      <c r="K80" s="43">
        <f>SUM(K81:K87)</f>
        <v>0</v>
      </c>
      <c r="L80" s="5"/>
      <c r="AH80" s="36"/>
      <c r="AR80" s="43">
        <f>SUM(AI81:AI87)</f>
        <v>0</v>
      </c>
      <c r="AS80" s="43">
        <f>SUM(AJ81:AJ87)</f>
        <v>0</v>
      </c>
      <c r="AT80" s="43">
        <f>SUM(AK81:AK87)</f>
        <v>0</v>
      </c>
    </row>
    <row r="81" spans="1:63" x14ac:dyDescent="0.25">
      <c r="A81" s="4" t="s">
        <v>41</v>
      </c>
      <c r="B81" s="14" t="s">
        <v>337</v>
      </c>
      <c r="C81" s="117" t="s">
        <v>690</v>
      </c>
      <c r="D81" s="118"/>
      <c r="E81" s="118"/>
      <c r="F81" s="14" t="s">
        <v>1024</v>
      </c>
      <c r="G81" s="21">
        <v>1</v>
      </c>
      <c r="H81" s="21">
        <v>0</v>
      </c>
      <c r="I81" s="21">
        <f>G81*AN81</f>
        <v>0</v>
      </c>
      <c r="J81" s="21">
        <f>G81*AO81</f>
        <v>0</v>
      </c>
      <c r="K81" s="21">
        <f t="shared" ref="K81:K87" si="11">G81*H81</f>
        <v>0</v>
      </c>
      <c r="L81" s="5"/>
      <c r="Y81" s="37">
        <f t="shared" ref="Y81:Y87" si="12">IF(AP81="5",BI81,0)</f>
        <v>0</v>
      </c>
      <c r="AA81" s="37">
        <f t="shared" ref="AA81:AA87" si="13">IF(AP81="1",BG81,0)</f>
        <v>0</v>
      </c>
      <c r="AB81" s="37">
        <f t="shared" ref="AB81:AB87" si="14">IF(AP81="1",BH81,0)</f>
        <v>0</v>
      </c>
      <c r="AC81" s="37">
        <f t="shared" ref="AC81:AC87" si="15">IF(AP81="7",BG81,0)</f>
        <v>0</v>
      </c>
      <c r="AD81" s="37">
        <f t="shared" ref="AD81:AD87" si="16">IF(AP81="7",BH81,0)</f>
        <v>0</v>
      </c>
      <c r="AE81" s="37">
        <f t="shared" ref="AE81:AE87" si="17">IF(AP81="2",BG81,0)</f>
        <v>0</v>
      </c>
      <c r="AF81" s="37">
        <f t="shared" ref="AF81:AF87" si="18">IF(AP81="2",BH81,0)</f>
        <v>0</v>
      </c>
      <c r="AG81" s="37">
        <f t="shared" ref="AG81:AG87" si="19">IF(AP81="0",BI81,0)</f>
        <v>0</v>
      </c>
      <c r="AH81" s="36"/>
      <c r="AI81" s="21">
        <f>IF(AM81=0,K81,0)</f>
        <v>0</v>
      </c>
      <c r="AJ81" s="21">
        <f>IF(AM81=15,K81,0)</f>
        <v>0</v>
      </c>
      <c r="AK81" s="21">
        <f>IF(AM81=21,K81,0)</f>
        <v>0</v>
      </c>
      <c r="AM81" s="37">
        <v>21</v>
      </c>
      <c r="AN81" s="37">
        <f>H81*0.193787878787879</f>
        <v>0</v>
      </c>
      <c r="AO81" s="37">
        <f>H81*(1-0.193787878787879)</f>
        <v>0</v>
      </c>
      <c r="AP81" s="38" t="s">
        <v>7</v>
      </c>
      <c r="AU81" s="37">
        <f t="shared" ref="AU81:AU87" si="20">AV81+AW81</f>
        <v>0</v>
      </c>
      <c r="AV81" s="37">
        <f>G81*AN81</f>
        <v>0</v>
      </c>
      <c r="AW81" s="37">
        <f>G81*AO81</f>
        <v>0</v>
      </c>
      <c r="AX81" s="40" t="s">
        <v>1067</v>
      </c>
      <c r="AY81" s="40" t="s">
        <v>1113</v>
      </c>
      <c r="AZ81" s="36" t="s">
        <v>1122</v>
      </c>
      <c r="BB81" s="37">
        <f t="shared" ref="BB81:BB87" si="21">AV81+AW81</f>
        <v>0</v>
      </c>
      <c r="BC81" s="37">
        <f>H81/(100-BD81)*100</f>
        <v>0</v>
      </c>
      <c r="BD81" s="37">
        <v>0</v>
      </c>
      <c r="BE81" s="37">
        <f>81</f>
        <v>81</v>
      </c>
      <c r="BG81" s="21">
        <f>G81*AN81</f>
        <v>0</v>
      </c>
      <c r="BH81" s="21">
        <f>G81*AO81</f>
        <v>0</v>
      </c>
      <c r="BI81" s="21">
        <f>G81*H81</f>
        <v>0</v>
      </c>
      <c r="BJ81" s="21" t="s">
        <v>1127</v>
      </c>
      <c r="BK81" s="37">
        <v>64</v>
      </c>
    </row>
    <row r="82" spans="1:63" x14ac:dyDescent="0.25">
      <c r="A82" s="7" t="s">
        <v>42</v>
      </c>
      <c r="B82" s="16" t="s">
        <v>338</v>
      </c>
      <c r="C82" s="123" t="s">
        <v>691</v>
      </c>
      <c r="D82" s="124"/>
      <c r="E82" s="124"/>
      <c r="F82" s="16" t="s">
        <v>1024</v>
      </c>
      <c r="G82" s="23">
        <v>1</v>
      </c>
      <c r="H82" s="23">
        <v>0</v>
      </c>
      <c r="I82" s="23">
        <f>G82*AN82</f>
        <v>0</v>
      </c>
      <c r="J82" s="23">
        <f>G82*AO82</f>
        <v>0</v>
      </c>
      <c r="K82" s="23">
        <f t="shared" si="11"/>
        <v>0</v>
      </c>
      <c r="L82" s="5"/>
      <c r="Y82" s="37">
        <f t="shared" si="12"/>
        <v>0</v>
      </c>
      <c r="AA82" s="37">
        <f t="shared" si="13"/>
        <v>0</v>
      </c>
      <c r="AB82" s="37">
        <f t="shared" si="14"/>
        <v>0</v>
      </c>
      <c r="AC82" s="37">
        <f t="shared" si="15"/>
        <v>0</v>
      </c>
      <c r="AD82" s="37">
        <f t="shared" si="16"/>
        <v>0</v>
      </c>
      <c r="AE82" s="37">
        <f t="shared" si="17"/>
        <v>0</v>
      </c>
      <c r="AF82" s="37">
        <f t="shared" si="18"/>
        <v>0</v>
      </c>
      <c r="AG82" s="37">
        <f t="shared" si="19"/>
        <v>0</v>
      </c>
      <c r="AH82" s="36"/>
      <c r="AI82" s="23">
        <f>IF(AM82=0,K82,0)</f>
        <v>0</v>
      </c>
      <c r="AJ82" s="23">
        <f>IF(AM82=15,K82,0)</f>
        <v>0</v>
      </c>
      <c r="AK82" s="23">
        <f>IF(AM82=21,K82,0)</f>
        <v>0</v>
      </c>
      <c r="AM82" s="37">
        <v>21</v>
      </c>
      <c r="AN82" s="37">
        <f>H82*1</f>
        <v>0</v>
      </c>
      <c r="AO82" s="37">
        <f>H82*(1-1)</f>
        <v>0</v>
      </c>
      <c r="AP82" s="39" t="s">
        <v>7</v>
      </c>
      <c r="AU82" s="37">
        <f t="shared" si="20"/>
        <v>0</v>
      </c>
      <c r="AV82" s="37">
        <f>G82*AN82</f>
        <v>0</v>
      </c>
      <c r="AW82" s="37">
        <f>G82*AO82</f>
        <v>0</v>
      </c>
      <c r="AX82" s="40" t="s">
        <v>1067</v>
      </c>
      <c r="AY82" s="40" t="s">
        <v>1113</v>
      </c>
      <c r="AZ82" s="36" t="s">
        <v>1122</v>
      </c>
      <c r="BB82" s="37">
        <f t="shared" si="21"/>
        <v>0</v>
      </c>
      <c r="BC82" s="37">
        <f>H82/(100-BD82)*100</f>
        <v>0</v>
      </c>
      <c r="BD82" s="37">
        <v>0</v>
      </c>
      <c r="BE82" s="37">
        <f>82</f>
        <v>82</v>
      </c>
      <c r="BG82" s="23">
        <f>G82*AN82</f>
        <v>0</v>
      </c>
      <c r="BH82" s="23">
        <f>G82*AO82</f>
        <v>0</v>
      </c>
      <c r="BI82" s="23">
        <f>G82*H82</f>
        <v>0</v>
      </c>
      <c r="BJ82" s="23" t="s">
        <v>1128</v>
      </c>
      <c r="BK82" s="37">
        <v>64</v>
      </c>
    </row>
    <row r="83" spans="1:63" x14ac:dyDescent="0.25">
      <c r="A83" s="4" t="s">
        <v>43</v>
      </c>
      <c r="B83" s="14" t="s">
        <v>339</v>
      </c>
      <c r="C83" s="117" t="s">
        <v>692</v>
      </c>
      <c r="D83" s="118"/>
      <c r="E83" s="118"/>
      <c r="F83" s="14" t="s">
        <v>1024</v>
      </c>
      <c r="G83" s="21">
        <v>1</v>
      </c>
      <c r="H83" s="21">
        <v>0</v>
      </c>
      <c r="I83" s="21">
        <f>G83*AN83</f>
        <v>0</v>
      </c>
      <c r="J83" s="21">
        <f>G83*AO83</f>
        <v>0</v>
      </c>
      <c r="K83" s="21">
        <f t="shared" si="11"/>
        <v>0</v>
      </c>
      <c r="L83" s="5"/>
      <c r="Y83" s="37">
        <f t="shared" si="12"/>
        <v>0</v>
      </c>
      <c r="AA83" s="37">
        <f t="shared" si="13"/>
        <v>0</v>
      </c>
      <c r="AB83" s="37">
        <f t="shared" si="14"/>
        <v>0</v>
      </c>
      <c r="AC83" s="37">
        <f t="shared" si="15"/>
        <v>0</v>
      </c>
      <c r="AD83" s="37">
        <f t="shared" si="16"/>
        <v>0</v>
      </c>
      <c r="AE83" s="37">
        <f t="shared" si="17"/>
        <v>0</v>
      </c>
      <c r="AF83" s="37">
        <f t="shared" si="18"/>
        <v>0</v>
      </c>
      <c r="AG83" s="37">
        <f t="shared" si="19"/>
        <v>0</v>
      </c>
      <c r="AH83" s="36"/>
      <c r="AI83" s="21">
        <f>IF(AM83=0,K83,0)</f>
        <v>0</v>
      </c>
      <c r="AJ83" s="21">
        <f>IF(AM83=15,K83,0)</f>
        <v>0</v>
      </c>
      <c r="AK83" s="21">
        <f>IF(AM83=21,K83,0)</f>
        <v>0</v>
      </c>
      <c r="AM83" s="37">
        <v>21</v>
      </c>
      <c r="AN83" s="37">
        <f>H83*0.559187032418953</f>
        <v>0</v>
      </c>
      <c r="AO83" s="37">
        <f>H83*(1-0.559187032418953)</f>
        <v>0</v>
      </c>
      <c r="AP83" s="38" t="s">
        <v>7</v>
      </c>
      <c r="AU83" s="37">
        <f t="shared" si="20"/>
        <v>0</v>
      </c>
      <c r="AV83" s="37">
        <f>G83*AN83</f>
        <v>0</v>
      </c>
      <c r="AW83" s="37">
        <f>G83*AO83</f>
        <v>0</v>
      </c>
      <c r="AX83" s="40" t="s">
        <v>1067</v>
      </c>
      <c r="AY83" s="40" t="s">
        <v>1113</v>
      </c>
      <c r="AZ83" s="36" t="s">
        <v>1122</v>
      </c>
      <c r="BB83" s="37">
        <f t="shared" si="21"/>
        <v>0</v>
      </c>
      <c r="BC83" s="37">
        <f>H83/(100-BD83)*100</f>
        <v>0</v>
      </c>
      <c r="BD83" s="37">
        <v>0</v>
      </c>
      <c r="BE83" s="37">
        <f>83</f>
        <v>83</v>
      </c>
      <c r="BG83" s="21">
        <f>G83*AN83</f>
        <v>0</v>
      </c>
      <c r="BH83" s="21">
        <f>G83*AO83</f>
        <v>0</v>
      </c>
      <c r="BI83" s="21">
        <f>G83*H83</f>
        <v>0</v>
      </c>
      <c r="BJ83" s="21" t="s">
        <v>1127</v>
      </c>
      <c r="BK83" s="37">
        <v>64</v>
      </c>
    </row>
    <row r="84" spans="1:63" x14ac:dyDescent="0.25">
      <c r="A84" s="4" t="s">
        <v>44</v>
      </c>
      <c r="B84" s="14" t="s">
        <v>340</v>
      </c>
      <c r="C84" s="117" t="s">
        <v>693</v>
      </c>
      <c r="D84" s="118"/>
      <c r="E84" s="118"/>
      <c r="F84" s="14" t="s">
        <v>1024</v>
      </c>
      <c r="G84" s="21">
        <v>1</v>
      </c>
      <c r="H84" s="21">
        <v>0</v>
      </c>
      <c r="I84" s="21">
        <f>G84*AN84</f>
        <v>0</v>
      </c>
      <c r="J84" s="21">
        <f>G84*AO84</f>
        <v>0</v>
      </c>
      <c r="K84" s="21">
        <f t="shared" si="11"/>
        <v>0</v>
      </c>
      <c r="L84" s="5"/>
      <c r="Y84" s="37">
        <f t="shared" si="12"/>
        <v>0</v>
      </c>
      <c r="AA84" s="37">
        <f t="shared" si="13"/>
        <v>0</v>
      </c>
      <c r="AB84" s="37">
        <f t="shared" si="14"/>
        <v>0</v>
      </c>
      <c r="AC84" s="37">
        <f t="shared" si="15"/>
        <v>0</v>
      </c>
      <c r="AD84" s="37">
        <f t="shared" si="16"/>
        <v>0</v>
      </c>
      <c r="AE84" s="37">
        <f t="shared" si="17"/>
        <v>0</v>
      </c>
      <c r="AF84" s="37">
        <f t="shared" si="18"/>
        <v>0</v>
      </c>
      <c r="AG84" s="37">
        <f t="shared" si="19"/>
        <v>0</v>
      </c>
      <c r="AH84" s="36"/>
      <c r="AI84" s="21">
        <f>IF(AM84=0,K84,0)</f>
        <v>0</v>
      </c>
      <c r="AJ84" s="21">
        <f>IF(AM84=15,K84,0)</f>
        <v>0</v>
      </c>
      <c r="AK84" s="21">
        <f>IF(AM84=21,K84,0)</f>
        <v>0</v>
      </c>
      <c r="AM84" s="37">
        <v>21</v>
      </c>
      <c r="AN84" s="37">
        <f>H84*0.33163323782235</f>
        <v>0</v>
      </c>
      <c r="AO84" s="37">
        <f>H84*(1-0.33163323782235)</f>
        <v>0</v>
      </c>
      <c r="AP84" s="38" t="s">
        <v>7</v>
      </c>
      <c r="AU84" s="37">
        <f t="shared" si="20"/>
        <v>0</v>
      </c>
      <c r="AV84" s="37">
        <f>G84*AN84</f>
        <v>0</v>
      </c>
      <c r="AW84" s="37">
        <f>G84*AO84</f>
        <v>0</v>
      </c>
      <c r="AX84" s="40" t="s">
        <v>1067</v>
      </c>
      <c r="AY84" s="40" t="s">
        <v>1113</v>
      </c>
      <c r="AZ84" s="36" t="s">
        <v>1122</v>
      </c>
      <c r="BB84" s="37">
        <f t="shared" si="21"/>
        <v>0</v>
      </c>
      <c r="BC84" s="37">
        <f>H84/(100-BD84)*100</f>
        <v>0</v>
      </c>
      <c r="BD84" s="37">
        <v>0</v>
      </c>
      <c r="BE84" s="37">
        <f>84</f>
        <v>84</v>
      </c>
      <c r="BG84" s="21">
        <f>G84*AN84</f>
        <v>0</v>
      </c>
      <c r="BH84" s="21">
        <f>G84*AO84</f>
        <v>0</v>
      </c>
      <c r="BI84" s="21">
        <f>G84*H84</f>
        <v>0</v>
      </c>
      <c r="BJ84" s="21" t="s">
        <v>1127</v>
      </c>
      <c r="BK84" s="37">
        <v>64</v>
      </c>
    </row>
    <row r="85" spans="1:63" x14ac:dyDescent="0.25">
      <c r="A85" s="7" t="s">
        <v>45</v>
      </c>
      <c r="B85" s="16" t="s">
        <v>341</v>
      </c>
      <c r="C85" s="123" t="s">
        <v>694</v>
      </c>
      <c r="D85" s="124"/>
      <c r="E85" s="124"/>
      <c r="F85" s="16" t="s">
        <v>1024</v>
      </c>
      <c r="G85" s="23">
        <v>1</v>
      </c>
      <c r="H85" s="23">
        <v>0</v>
      </c>
      <c r="I85" s="23">
        <f>G85*AN85</f>
        <v>0</v>
      </c>
      <c r="J85" s="23">
        <f>G85*AO85</f>
        <v>0</v>
      </c>
      <c r="K85" s="23">
        <f t="shared" si="11"/>
        <v>0</v>
      </c>
      <c r="L85" s="5"/>
      <c r="Y85" s="37">
        <f t="shared" si="12"/>
        <v>0</v>
      </c>
      <c r="AA85" s="37">
        <f t="shared" si="13"/>
        <v>0</v>
      </c>
      <c r="AB85" s="37">
        <f t="shared" si="14"/>
        <v>0</v>
      </c>
      <c r="AC85" s="37">
        <f t="shared" si="15"/>
        <v>0</v>
      </c>
      <c r="AD85" s="37">
        <f t="shared" si="16"/>
        <v>0</v>
      </c>
      <c r="AE85" s="37">
        <f t="shared" si="17"/>
        <v>0</v>
      </c>
      <c r="AF85" s="37">
        <f t="shared" si="18"/>
        <v>0</v>
      </c>
      <c r="AG85" s="37">
        <f t="shared" si="19"/>
        <v>0</v>
      </c>
      <c r="AH85" s="36"/>
      <c r="AI85" s="23">
        <f>IF(AM85=0,K85,0)</f>
        <v>0</v>
      </c>
      <c r="AJ85" s="23">
        <f>IF(AM85=15,K85,0)</f>
        <v>0</v>
      </c>
      <c r="AK85" s="23">
        <f>IF(AM85=21,K85,0)</f>
        <v>0</v>
      </c>
      <c r="AM85" s="37">
        <v>21</v>
      </c>
      <c r="AN85" s="37">
        <f>H85*1</f>
        <v>0</v>
      </c>
      <c r="AO85" s="37">
        <f>H85*(1-1)</f>
        <v>0</v>
      </c>
      <c r="AP85" s="39" t="s">
        <v>7</v>
      </c>
      <c r="AU85" s="37">
        <f t="shared" si="20"/>
        <v>0</v>
      </c>
      <c r="AV85" s="37">
        <f>G85*AN85</f>
        <v>0</v>
      </c>
      <c r="AW85" s="37">
        <f>G85*AO85</f>
        <v>0</v>
      </c>
      <c r="AX85" s="40" t="s">
        <v>1067</v>
      </c>
      <c r="AY85" s="40" t="s">
        <v>1113</v>
      </c>
      <c r="AZ85" s="36" t="s">
        <v>1122</v>
      </c>
      <c r="BB85" s="37">
        <f t="shared" si="21"/>
        <v>0</v>
      </c>
      <c r="BC85" s="37">
        <f>H85/(100-BD85)*100</f>
        <v>0</v>
      </c>
      <c r="BD85" s="37">
        <v>0</v>
      </c>
      <c r="BE85" s="37">
        <f>85</f>
        <v>85</v>
      </c>
      <c r="BG85" s="23">
        <f>G85*AN85</f>
        <v>0</v>
      </c>
      <c r="BH85" s="23">
        <f>G85*AO85</f>
        <v>0</v>
      </c>
      <c r="BI85" s="23">
        <f>G85*H85</f>
        <v>0</v>
      </c>
      <c r="BJ85" s="23" t="s">
        <v>1128</v>
      </c>
      <c r="BK85" s="37">
        <v>64</v>
      </c>
    </row>
    <row r="86" spans="1:63" x14ac:dyDescent="0.25">
      <c r="A86" s="4" t="s">
        <v>46</v>
      </c>
      <c r="B86" s="14" t="s">
        <v>342</v>
      </c>
      <c r="C86" s="117" t="s">
        <v>695</v>
      </c>
      <c r="D86" s="118"/>
      <c r="E86" s="118"/>
      <c r="F86" s="14" t="s">
        <v>1024</v>
      </c>
      <c r="G86" s="21">
        <v>1</v>
      </c>
      <c r="H86" s="21">
        <v>0</v>
      </c>
      <c r="I86" s="21">
        <f>G86*AN86</f>
        <v>0</v>
      </c>
      <c r="J86" s="21">
        <f>G86*AO86</f>
        <v>0</v>
      </c>
      <c r="K86" s="21">
        <f t="shared" si="11"/>
        <v>0</v>
      </c>
      <c r="L86" s="5"/>
      <c r="Y86" s="37">
        <f t="shared" si="12"/>
        <v>0</v>
      </c>
      <c r="AA86" s="37">
        <f t="shared" si="13"/>
        <v>0</v>
      </c>
      <c r="AB86" s="37">
        <f t="shared" si="14"/>
        <v>0</v>
      </c>
      <c r="AC86" s="37">
        <f t="shared" si="15"/>
        <v>0</v>
      </c>
      <c r="AD86" s="37">
        <f t="shared" si="16"/>
        <v>0</v>
      </c>
      <c r="AE86" s="37">
        <f t="shared" si="17"/>
        <v>0</v>
      </c>
      <c r="AF86" s="37">
        <f t="shared" si="18"/>
        <v>0</v>
      </c>
      <c r="AG86" s="37">
        <f t="shared" si="19"/>
        <v>0</v>
      </c>
      <c r="AH86" s="36"/>
      <c r="AI86" s="21">
        <f>IF(AM86=0,K86,0)</f>
        <v>0</v>
      </c>
      <c r="AJ86" s="21">
        <f>IF(AM86=15,K86,0)</f>
        <v>0</v>
      </c>
      <c r="AK86" s="21">
        <f>IF(AM86=21,K86,0)</f>
        <v>0</v>
      </c>
      <c r="AM86" s="37">
        <v>21</v>
      </c>
      <c r="AN86" s="37">
        <f>H86*0</f>
        <v>0</v>
      </c>
      <c r="AO86" s="37">
        <f>H86*(1-0)</f>
        <v>0</v>
      </c>
      <c r="AP86" s="38" t="s">
        <v>7</v>
      </c>
      <c r="AU86" s="37">
        <f t="shared" si="20"/>
        <v>0</v>
      </c>
      <c r="AV86" s="37">
        <f>G86*AN86</f>
        <v>0</v>
      </c>
      <c r="AW86" s="37">
        <f>G86*AO86</f>
        <v>0</v>
      </c>
      <c r="AX86" s="40" t="s">
        <v>1067</v>
      </c>
      <c r="AY86" s="40" t="s">
        <v>1113</v>
      </c>
      <c r="AZ86" s="36" t="s">
        <v>1122</v>
      </c>
      <c r="BB86" s="37">
        <f t="shared" si="21"/>
        <v>0</v>
      </c>
      <c r="BC86" s="37">
        <f>H86/(100-BD86)*100</f>
        <v>0</v>
      </c>
      <c r="BD86" s="37">
        <v>0</v>
      </c>
      <c r="BE86" s="37">
        <f>86</f>
        <v>86</v>
      </c>
      <c r="BG86" s="21">
        <f>G86*AN86</f>
        <v>0</v>
      </c>
      <c r="BH86" s="21">
        <f>G86*AO86</f>
        <v>0</v>
      </c>
      <c r="BI86" s="21">
        <f>G86*H86</f>
        <v>0</v>
      </c>
      <c r="BJ86" s="21" t="s">
        <v>1127</v>
      </c>
      <c r="BK86" s="37">
        <v>64</v>
      </c>
    </row>
    <row r="87" spans="1:63" x14ac:dyDescent="0.25">
      <c r="A87" s="7" t="s">
        <v>47</v>
      </c>
      <c r="B87" s="16" t="s">
        <v>343</v>
      </c>
      <c r="C87" s="123" t="s">
        <v>696</v>
      </c>
      <c r="D87" s="124"/>
      <c r="E87" s="124"/>
      <c r="F87" s="16" t="s">
        <v>1024</v>
      </c>
      <c r="G87" s="23">
        <v>1</v>
      </c>
      <c r="H87" s="23">
        <v>0</v>
      </c>
      <c r="I87" s="23">
        <f>G87*AN87</f>
        <v>0</v>
      </c>
      <c r="J87" s="23">
        <f>G87*AO87</f>
        <v>0</v>
      </c>
      <c r="K87" s="23">
        <f t="shared" si="11"/>
        <v>0</v>
      </c>
      <c r="L87" s="5"/>
      <c r="Y87" s="37">
        <f t="shared" si="12"/>
        <v>0</v>
      </c>
      <c r="AA87" s="37">
        <f t="shared" si="13"/>
        <v>0</v>
      </c>
      <c r="AB87" s="37">
        <f t="shared" si="14"/>
        <v>0</v>
      </c>
      <c r="AC87" s="37">
        <f t="shared" si="15"/>
        <v>0</v>
      </c>
      <c r="AD87" s="37">
        <f t="shared" si="16"/>
        <v>0</v>
      </c>
      <c r="AE87" s="37">
        <f t="shared" si="17"/>
        <v>0</v>
      </c>
      <c r="AF87" s="37">
        <f t="shared" si="18"/>
        <v>0</v>
      </c>
      <c r="AG87" s="37">
        <f t="shared" si="19"/>
        <v>0</v>
      </c>
      <c r="AH87" s="36"/>
      <c r="AI87" s="23">
        <f>IF(AM87=0,K87,0)</f>
        <v>0</v>
      </c>
      <c r="AJ87" s="23">
        <f>IF(AM87=15,K87,0)</f>
        <v>0</v>
      </c>
      <c r="AK87" s="23">
        <f>IF(AM87=21,K87,0)</f>
        <v>0</v>
      </c>
      <c r="AM87" s="37">
        <v>21</v>
      </c>
      <c r="AN87" s="37">
        <f>H87*1</f>
        <v>0</v>
      </c>
      <c r="AO87" s="37">
        <f>H87*(1-1)</f>
        <v>0</v>
      </c>
      <c r="AP87" s="39" t="s">
        <v>7</v>
      </c>
      <c r="AU87" s="37">
        <f t="shared" si="20"/>
        <v>0</v>
      </c>
      <c r="AV87" s="37">
        <f>G87*AN87</f>
        <v>0</v>
      </c>
      <c r="AW87" s="37">
        <f>G87*AO87</f>
        <v>0</v>
      </c>
      <c r="AX87" s="40" t="s">
        <v>1067</v>
      </c>
      <c r="AY87" s="40" t="s">
        <v>1113</v>
      </c>
      <c r="AZ87" s="36" t="s">
        <v>1122</v>
      </c>
      <c r="BB87" s="37">
        <f t="shared" si="21"/>
        <v>0</v>
      </c>
      <c r="BC87" s="37">
        <f>H87/(100-BD87)*100</f>
        <v>0</v>
      </c>
      <c r="BD87" s="37">
        <v>0</v>
      </c>
      <c r="BE87" s="37">
        <f>87</f>
        <v>87</v>
      </c>
      <c r="BG87" s="23">
        <f>G87*AN87</f>
        <v>0</v>
      </c>
      <c r="BH87" s="23">
        <f>G87*AO87</f>
        <v>0</v>
      </c>
      <c r="BI87" s="23">
        <f>G87*H87</f>
        <v>0</v>
      </c>
      <c r="BJ87" s="23" t="s">
        <v>1128</v>
      </c>
      <c r="BK87" s="37">
        <v>64</v>
      </c>
    </row>
    <row r="88" spans="1:63" x14ac:dyDescent="0.25">
      <c r="A88" s="6"/>
      <c r="B88" s="15" t="s">
        <v>344</v>
      </c>
      <c r="C88" s="121" t="s">
        <v>697</v>
      </c>
      <c r="D88" s="122"/>
      <c r="E88" s="122"/>
      <c r="F88" s="19" t="s">
        <v>6</v>
      </c>
      <c r="G88" s="19" t="s">
        <v>6</v>
      </c>
      <c r="H88" s="19" t="s">
        <v>6</v>
      </c>
      <c r="I88" s="43">
        <f>SUM(I89:I94)</f>
        <v>0</v>
      </c>
      <c r="J88" s="43">
        <f>SUM(J89:J94)</f>
        <v>0</v>
      </c>
      <c r="K88" s="43">
        <f>SUM(K89:K94)</f>
        <v>0</v>
      </c>
      <c r="L88" s="5"/>
      <c r="AH88" s="36"/>
      <c r="AR88" s="43">
        <f>SUM(AI89:AI94)</f>
        <v>0</v>
      </c>
      <c r="AS88" s="43">
        <f>SUM(AJ89:AJ94)</f>
        <v>0</v>
      </c>
      <c r="AT88" s="43">
        <f>SUM(AK89:AK94)</f>
        <v>0</v>
      </c>
    </row>
    <row r="89" spans="1:63" x14ac:dyDescent="0.25">
      <c r="A89" s="4" t="s">
        <v>48</v>
      </c>
      <c r="B89" s="14" t="s">
        <v>345</v>
      </c>
      <c r="C89" s="117" t="s">
        <v>698</v>
      </c>
      <c r="D89" s="118"/>
      <c r="E89" s="118"/>
      <c r="F89" s="14" t="s">
        <v>1023</v>
      </c>
      <c r="G89" s="21">
        <v>15</v>
      </c>
      <c r="H89" s="21">
        <v>0</v>
      </c>
      <c r="I89" s="21">
        <f>G89*AN89</f>
        <v>0</v>
      </c>
      <c r="J89" s="21">
        <f>G89*AO89</f>
        <v>0</v>
      </c>
      <c r="K89" s="21">
        <f t="shared" ref="K89:K94" si="22">G89*H89</f>
        <v>0</v>
      </c>
      <c r="L89" s="5"/>
      <c r="Y89" s="37">
        <f t="shared" ref="Y89:Y94" si="23">IF(AP89="5",BI89,0)</f>
        <v>0</v>
      </c>
      <c r="AA89" s="37">
        <f t="shared" ref="AA89:AA94" si="24">IF(AP89="1",BG89,0)</f>
        <v>0</v>
      </c>
      <c r="AB89" s="37">
        <f t="shared" ref="AB89:AB94" si="25">IF(AP89="1",BH89,0)</f>
        <v>0</v>
      </c>
      <c r="AC89" s="37">
        <f t="shared" ref="AC89:AC94" si="26">IF(AP89="7",BG89,0)</f>
        <v>0</v>
      </c>
      <c r="AD89" s="37">
        <f t="shared" ref="AD89:AD94" si="27">IF(AP89="7",BH89,0)</f>
        <v>0</v>
      </c>
      <c r="AE89" s="37">
        <f t="shared" ref="AE89:AE94" si="28">IF(AP89="2",BG89,0)</f>
        <v>0</v>
      </c>
      <c r="AF89" s="37">
        <f t="shared" ref="AF89:AF94" si="29">IF(AP89="2",BH89,0)</f>
        <v>0</v>
      </c>
      <c r="AG89" s="37">
        <f t="shared" ref="AG89:AG94" si="30">IF(AP89="0",BI89,0)</f>
        <v>0</v>
      </c>
      <c r="AH89" s="36"/>
      <c r="AI89" s="21">
        <f>IF(AM89=0,K89,0)</f>
        <v>0</v>
      </c>
      <c r="AJ89" s="21">
        <f>IF(AM89=15,K89,0)</f>
        <v>0</v>
      </c>
      <c r="AK89" s="21">
        <f>IF(AM89=21,K89,0)</f>
        <v>0</v>
      </c>
      <c r="AM89" s="37">
        <v>21</v>
      </c>
      <c r="AN89" s="37">
        <f>H89*0</f>
        <v>0</v>
      </c>
      <c r="AO89" s="37">
        <f>H89*(1-0)</f>
        <v>0</v>
      </c>
      <c r="AP89" s="38" t="s">
        <v>13</v>
      </c>
      <c r="AU89" s="37">
        <f t="shared" ref="AU89:AU94" si="31">AV89+AW89</f>
        <v>0</v>
      </c>
      <c r="AV89" s="37">
        <f>G89*AN89</f>
        <v>0</v>
      </c>
      <c r="AW89" s="37">
        <f>G89*AO89</f>
        <v>0</v>
      </c>
      <c r="AX89" s="40" t="s">
        <v>1068</v>
      </c>
      <c r="AY89" s="40" t="s">
        <v>1114</v>
      </c>
      <c r="AZ89" s="36" t="s">
        <v>1122</v>
      </c>
      <c r="BB89" s="37">
        <f t="shared" ref="BB89:BB94" si="32">AV89+AW89</f>
        <v>0</v>
      </c>
      <c r="BC89" s="37">
        <f>H89/(100-BD89)*100</f>
        <v>0</v>
      </c>
      <c r="BD89" s="37">
        <v>0</v>
      </c>
      <c r="BE89" s="37">
        <f>89</f>
        <v>89</v>
      </c>
      <c r="BG89" s="21">
        <f>G89*AN89</f>
        <v>0</v>
      </c>
      <c r="BH89" s="21">
        <f>G89*AO89</f>
        <v>0</v>
      </c>
      <c r="BI89" s="21">
        <f>G89*H89</f>
        <v>0</v>
      </c>
      <c r="BJ89" s="21" t="s">
        <v>1127</v>
      </c>
      <c r="BK89" s="37">
        <v>713</v>
      </c>
    </row>
    <row r="90" spans="1:63" x14ac:dyDescent="0.25">
      <c r="A90" s="4" t="s">
        <v>49</v>
      </c>
      <c r="B90" s="14" t="s">
        <v>346</v>
      </c>
      <c r="C90" s="117" t="s">
        <v>699</v>
      </c>
      <c r="D90" s="118"/>
      <c r="E90" s="118"/>
      <c r="F90" s="14" t="s">
        <v>1026</v>
      </c>
      <c r="G90" s="21">
        <v>12</v>
      </c>
      <c r="H90" s="21">
        <v>0</v>
      </c>
      <c r="I90" s="21">
        <f>G90*AN90</f>
        <v>0</v>
      </c>
      <c r="J90" s="21">
        <f>G90*AO90</f>
        <v>0</v>
      </c>
      <c r="K90" s="21">
        <f t="shared" si="22"/>
        <v>0</v>
      </c>
      <c r="L90" s="5"/>
      <c r="Y90" s="37">
        <f t="shared" si="23"/>
        <v>0</v>
      </c>
      <c r="AA90" s="37">
        <f t="shared" si="24"/>
        <v>0</v>
      </c>
      <c r="AB90" s="37">
        <f t="shared" si="25"/>
        <v>0</v>
      </c>
      <c r="AC90" s="37">
        <f t="shared" si="26"/>
        <v>0</v>
      </c>
      <c r="AD90" s="37">
        <f t="shared" si="27"/>
        <v>0</v>
      </c>
      <c r="AE90" s="37">
        <f t="shared" si="28"/>
        <v>0</v>
      </c>
      <c r="AF90" s="37">
        <f t="shared" si="29"/>
        <v>0</v>
      </c>
      <c r="AG90" s="37">
        <f t="shared" si="30"/>
        <v>0</v>
      </c>
      <c r="AH90" s="36"/>
      <c r="AI90" s="21">
        <f>IF(AM90=0,K90,0)</f>
        <v>0</v>
      </c>
      <c r="AJ90" s="21">
        <f>IF(AM90=15,K90,0)</f>
        <v>0</v>
      </c>
      <c r="AK90" s="21">
        <f>IF(AM90=21,K90,0)</f>
        <v>0</v>
      </c>
      <c r="AM90" s="37">
        <v>21</v>
      </c>
      <c r="AN90" s="37">
        <f>H90*0.217917675544794</f>
        <v>0</v>
      </c>
      <c r="AO90" s="37">
        <f>H90*(1-0.217917675544794)</f>
        <v>0</v>
      </c>
      <c r="AP90" s="38" t="s">
        <v>13</v>
      </c>
      <c r="AU90" s="37">
        <f t="shared" si="31"/>
        <v>0</v>
      </c>
      <c r="AV90" s="37">
        <f>G90*AN90</f>
        <v>0</v>
      </c>
      <c r="AW90" s="37">
        <f>G90*AO90</f>
        <v>0</v>
      </c>
      <c r="AX90" s="40" t="s">
        <v>1068</v>
      </c>
      <c r="AY90" s="40" t="s">
        <v>1114</v>
      </c>
      <c r="AZ90" s="36" t="s">
        <v>1122</v>
      </c>
      <c r="BB90" s="37">
        <f t="shared" si="32"/>
        <v>0</v>
      </c>
      <c r="BC90" s="37">
        <f>H90/(100-BD90)*100</f>
        <v>0</v>
      </c>
      <c r="BD90" s="37">
        <v>0</v>
      </c>
      <c r="BE90" s="37">
        <f>90</f>
        <v>90</v>
      </c>
      <c r="BG90" s="21">
        <f>G90*AN90</f>
        <v>0</v>
      </c>
      <c r="BH90" s="21">
        <f>G90*AO90</f>
        <v>0</v>
      </c>
      <c r="BI90" s="21">
        <f>G90*H90</f>
        <v>0</v>
      </c>
      <c r="BJ90" s="21" t="s">
        <v>1127</v>
      </c>
      <c r="BK90" s="37">
        <v>713</v>
      </c>
    </row>
    <row r="91" spans="1:63" x14ac:dyDescent="0.25">
      <c r="A91" s="4" t="s">
        <v>50</v>
      </c>
      <c r="B91" s="14" t="s">
        <v>347</v>
      </c>
      <c r="C91" s="117" t="s">
        <v>700</v>
      </c>
      <c r="D91" s="118"/>
      <c r="E91" s="118"/>
      <c r="F91" s="14" t="s">
        <v>1026</v>
      </c>
      <c r="G91" s="21">
        <v>6</v>
      </c>
      <c r="H91" s="21">
        <v>0</v>
      </c>
      <c r="I91" s="21">
        <f>G91*AN91</f>
        <v>0</v>
      </c>
      <c r="J91" s="21">
        <f>G91*AO91</f>
        <v>0</v>
      </c>
      <c r="K91" s="21">
        <f t="shared" si="22"/>
        <v>0</v>
      </c>
      <c r="L91" s="5"/>
      <c r="Y91" s="37">
        <f t="shared" si="23"/>
        <v>0</v>
      </c>
      <c r="AA91" s="37">
        <f t="shared" si="24"/>
        <v>0</v>
      </c>
      <c r="AB91" s="37">
        <f t="shared" si="25"/>
        <v>0</v>
      </c>
      <c r="AC91" s="37">
        <f t="shared" si="26"/>
        <v>0</v>
      </c>
      <c r="AD91" s="37">
        <f t="shared" si="27"/>
        <v>0</v>
      </c>
      <c r="AE91" s="37">
        <f t="shared" si="28"/>
        <v>0</v>
      </c>
      <c r="AF91" s="37">
        <f t="shared" si="29"/>
        <v>0</v>
      </c>
      <c r="AG91" s="37">
        <f t="shared" si="30"/>
        <v>0</v>
      </c>
      <c r="AH91" s="36"/>
      <c r="AI91" s="21">
        <f>IF(AM91=0,K91,0)</f>
        <v>0</v>
      </c>
      <c r="AJ91" s="21">
        <f>IF(AM91=15,K91,0)</f>
        <v>0</v>
      </c>
      <c r="AK91" s="21">
        <f>IF(AM91=21,K91,0)</f>
        <v>0</v>
      </c>
      <c r="AM91" s="37">
        <v>21</v>
      </c>
      <c r="AN91" s="37">
        <f>H91*0.515384615384615</f>
        <v>0</v>
      </c>
      <c r="AO91" s="37">
        <f>H91*(1-0.515384615384615)</f>
        <v>0</v>
      </c>
      <c r="AP91" s="38" t="s">
        <v>13</v>
      </c>
      <c r="AU91" s="37">
        <f t="shared" si="31"/>
        <v>0</v>
      </c>
      <c r="AV91" s="37">
        <f>G91*AN91</f>
        <v>0</v>
      </c>
      <c r="AW91" s="37">
        <f>G91*AO91</f>
        <v>0</v>
      </c>
      <c r="AX91" s="40" t="s">
        <v>1068</v>
      </c>
      <c r="AY91" s="40" t="s">
        <v>1114</v>
      </c>
      <c r="AZ91" s="36" t="s">
        <v>1122</v>
      </c>
      <c r="BB91" s="37">
        <f t="shared" si="32"/>
        <v>0</v>
      </c>
      <c r="BC91" s="37">
        <f>H91/(100-BD91)*100</f>
        <v>0</v>
      </c>
      <c r="BD91" s="37">
        <v>0</v>
      </c>
      <c r="BE91" s="37">
        <f>91</f>
        <v>91</v>
      </c>
      <c r="BG91" s="21">
        <f>G91*AN91</f>
        <v>0</v>
      </c>
      <c r="BH91" s="21">
        <f>G91*AO91</f>
        <v>0</v>
      </c>
      <c r="BI91" s="21">
        <f>G91*H91</f>
        <v>0</v>
      </c>
      <c r="BJ91" s="21" t="s">
        <v>1127</v>
      </c>
      <c r="BK91" s="37">
        <v>713</v>
      </c>
    </row>
    <row r="92" spans="1:63" x14ac:dyDescent="0.25">
      <c r="A92" s="4" t="s">
        <v>51</v>
      </c>
      <c r="B92" s="14" t="s">
        <v>348</v>
      </c>
      <c r="C92" s="117" t="s">
        <v>701</v>
      </c>
      <c r="D92" s="118"/>
      <c r="E92" s="118"/>
      <c r="F92" s="14" t="s">
        <v>1026</v>
      </c>
      <c r="G92" s="21">
        <v>8</v>
      </c>
      <c r="H92" s="21">
        <v>0</v>
      </c>
      <c r="I92" s="21">
        <f>G92*AN92</f>
        <v>0</v>
      </c>
      <c r="J92" s="21">
        <f>G92*AO92</f>
        <v>0</v>
      </c>
      <c r="K92" s="21">
        <f t="shared" si="22"/>
        <v>0</v>
      </c>
      <c r="L92" s="5"/>
      <c r="Y92" s="37">
        <f t="shared" si="23"/>
        <v>0</v>
      </c>
      <c r="AA92" s="37">
        <f t="shared" si="24"/>
        <v>0</v>
      </c>
      <c r="AB92" s="37">
        <f t="shared" si="25"/>
        <v>0</v>
      </c>
      <c r="AC92" s="37">
        <f t="shared" si="26"/>
        <v>0</v>
      </c>
      <c r="AD92" s="37">
        <f t="shared" si="27"/>
        <v>0</v>
      </c>
      <c r="AE92" s="37">
        <f t="shared" si="28"/>
        <v>0</v>
      </c>
      <c r="AF92" s="37">
        <f t="shared" si="29"/>
        <v>0</v>
      </c>
      <c r="AG92" s="37">
        <f t="shared" si="30"/>
        <v>0</v>
      </c>
      <c r="AH92" s="36"/>
      <c r="AI92" s="21">
        <f>IF(AM92=0,K92,0)</f>
        <v>0</v>
      </c>
      <c r="AJ92" s="21">
        <f>IF(AM92=15,K92,0)</f>
        <v>0</v>
      </c>
      <c r="AK92" s="21">
        <f>IF(AM92=21,K92,0)</f>
        <v>0</v>
      </c>
      <c r="AM92" s="37">
        <v>21</v>
      </c>
      <c r="AN92" s="37">
        <f>H92*0.51712</f>
        <v>0</v>
      </c>
      <c r="AO92" s="37">
        <f>H92*(1-0.51712)</f>
        <v>0</v>
      </c>
      <c r="AP92" s="38" t="s">
        <v>13</v>
      </c>
      <c r="AU92" s="37">
        <f t="shared" si="31"/>
        <v>0</v>
      </c>
      <c r="AV92" s="37">
        <f>G92*AN92</f>
        <v>0</v>
      </c>
      <c r="AW92" s="37">
        <f>G92*AO92</f>
        <v>0</v>
      </c>
      <c r="AX92" s="40" t="s">
        <v>1068</v>
      </c>
      <c r="AY92" s="40" t="s">
        <v>1114</v>
      </c>
      <c r="AZ92" s="36" t="s">
        <v>1122</v>
      </c>
      <c r="BB92" s="37">
        <f t="shared" si="32"/>
        <v>0</v>
      </c>
      <c r="BC92" s="37">
        <f>H92/(100-BD92)*100</f>
        <v>0</v>
      </c>
      <c r="BD92" s="37">
        <v>0</v>
      </c>
      <c r="BE92" s="37">
        <f>92</f>
        <v>92</v>
      </c>
      <c r="BG92" s="21">
        <f>G92*AN92</f>
        <v>0</v>
      </c>
      <c r="BH92" s="21">
        <f>G92*AO92</f>
        <v>0</v>
      </c>
      <c r="BI92" s="21">
        <f>G92*H92</f>
        <v>0</v>
      </c>
      <c r="BJ92" s="21" t="s">
        <v>1127</v>
      </c>
      <c r="BK92" s="37">
        <v>713</v>
      </c>
    </row>
    <row r="93" spans="1:63" x14ac:dyDescent="0.25">
      <c r="A93" s="4" t="s">
        <v>52</v>
      </c>
      <c r="B93" s="14" t="s">
        <v>349</v>
      </c>
      <c r="C93" s="117" t="s">
        <v>702</v>
      </c>
      <c r="D93" s="118"/>
      <c r="E93" s="118"/>
      <c r="F93" s="14" t="s">
        <v>1026</v>
      </c>
      <c r="G93" s="21">
        <v>18</v>
      </c>
      <c r="H93" s="21">
        <v>0</v>
      </c>
      <c r="I93" s="21">
        <f>G93*AN93</f>
        <v>0</v>
      </c>
      <c r="J93" s="21">
        <f>G93*AO93</f>
        <v>0</v>
      </c>
      <c r="K93" s="21">
        <f t="shared" si="22"/>
        <v>0</v>
      </c>
      <c r="L93" s="5"/>
      <c r="Y93" s="37">
        <f t="shared" si="23"/>
        <v>0</v>
      </c>
      <c r="AA93" s="37">
        <f t="shared" si="24"/>
        <v>0</v>
      </c>
      <c r="AB93" s="37">
        <f t="shared" si="25"/>
        <v>0</v>
      </c>
      <c r="AC93" s="37">
        <f t="shared" si="26"/>
        <v>0</v>
      </c>
      <c r="AD93" s="37">
        <f t="shared" si="27"/>
        <v>0</v>
      </c>
      <c r="AE93" s="37">
        <f t="shared" si="28"/>
        <v>0</v>
      </c>
      <c r="AF93" s="37">
        <f t="shared" si="29"/>
        <v>0</v>
      </c>
      <c r="AG93" s="37">
        <f t="shared" si="30"/>
        <v>0</v>
      </c>
      <c r="AH93" s="36"/>
      <c r="AI93" s="21">
        <f>IF(AM93=0,K93,0)</f>
        <v>0</v>
      </c>
      <c r="AJ93" s="21">
        <f>IF(AM93=15,K93,0)</f>
        <v>0</v>
      </c>
      <c r="AK93" s="21">
        <f>IF(AM93=21,K93,0)</f>
        <v>0</v>
      </c>
      <c r="AM93" s="37">
        <v>21</v>
      </c>
      <c r="AN93" s="37">
        <f>H93*0.511770100886579</f>
        <v>0</v>
      </c>
      <c r="AO93" s="37">
        <f>H93*(1-0.511770100886579)</f>
        <v>0</v>
      </c>
      <c r="AP93" s="38" t="s">
        <v>13</v>
      </c>
      <c r="AU93" s="37">
        <f t="shared" si="31"/>
        <v>0</v>
      </c>
      <c r="AV93" s="37">
        <f>G93*AN93</f>
        <v>0</v>
      </c>
      <c r="AW93" s="37">
        <f>G93*AO93</f>
        <v>0</v>
      </c>
      <c r="AX93" s="40" t="s">
        <v>1068</v>
      </c>
      <c r="AY93" s="40" t="s">
        <v>1114</v>
      </c>
      <c r="AZ93" s="36" t="s">
        <v>1122</v>
      </c>
      <c r="BB93" s="37">
        <f t="shared" si="32"/>
        <v>0</v>
      </c>
      <c r="BC93" s="37">
        <f>H93/(100-BD93)*100</f>
        <v>0</v>
      </c>
      <c r="BD93" s="37">
        <v>0</v>
      </c>
      <c r="BE93" s="37">
        <f>93</f>
        <v>93</v>
      </c>
      <c r="BG93" s="21">
        <f>G93*AN93</f>
        <v>0</v>
      </c>
      <c r="BH93" s="21">
        <f>G93*AO93</f>
        <v>0</v>
      </c>
      <c r="BI93" s="21">
        <f>G93*H93</f>
        <v>0</v>
      </c>
      <c r="BJ93" s="21" t="s">
        <v>1127</v>
      </c>
      <c r="BK93" s="37">
        <v>713</v>
      </c>
    </row>
    <row r="94" spans="1:63" x14ac:dyDescent="0.25">
      <c r="A94" s="4" t="s">
        <v>53</v>
      </c>
      <c r="B94" s="14" t="s">
        <v>350</v>
      </c>
      <c r="C94" s="117" t="s">
        <v>703</v>
      </c>
      <c r="D94" s="118"/>
      <c r="E94" s="118"/>
      <c r="F94" s="14" t="s">
        <v>1026</v>
      </c>
      <c r="G94" s="21">
        <v>12</v>
      </c>
      <c r="H94" s="21">
        <v>0</v>
      </c>
      <c r="I94" s="21">
        <f>G94*AN94</f>
        <v>0</v>
      </c>
      <c r="J94" s="21">
        <f>G94*AO94</f>
        <v>0</v>
      </c>
      <c r="K94" s="21">
        <f t="shared" si="22"/>
        <v>0</v>
      </c>
      <c r="L94" s="5"/>
      <c r="Y94" s="37">
        <f t="shared" si="23"/>
        <v>0</v>
      </c>
      <c r="AA94" s="37">
        <f t="shared" si="24"/>
        <v>0</v>
      </c>
      <c r="AB94" s="37">
        <f t="shared" si="25"/>
        <v>0</v>
      </c>
      <c r="AC94" s="37">
        <f t="shared" si="26"/>
        <v>0</v>
      </c>
      <c r="AD94" s="37">
        <f t="shared" si="27"/>
        <v>0</v>
      </c>
      <c r="AE94" s="37">
        <f t="shared" si="28"/>
        <v>0</v>
      </c>
      <c r="AF94" s="37">
        <f t="shared" si="29"/>
        <v>0</v>
      </c>
      <c r="AG94" s="37">
        <f t="shared" si="30"/>
        <v>0</v>
      </c>
      <c r="AH94" s="36"/>
      <c r="AI94" s="21">
        <f>IF(AM94=0,K94,0)</f>
        <v>0</v>
      </c>
      <c r="AJ94" s="21">
        <f>IF(AM94=15,K94,0)</f>
        <v>0</v>
      </c>
      <c r="AK94" s="21">
        <f>IF(AM94=21,K94,0)</f>
        <v>0</v>
      </c>
      <c r="AM94" s="37">
        <v>21</v>
      </c>
      <c r="AN94" s="37">
        <f>H94*0.523908523908524</f>
        <v>0</v>
      </c>
      <c r="AO94" s="37">
        <f>H94*(1-0.523908523908524)</f>
        <v>0</v>
      </c>
      <c r="AP94" s="38" t="s">
        <v>13</v>
      </c>
      <c r="AU94" s="37">
        <f t="shared" si="31"/>
        <v>0</v>
      </c>
      <c r="AV94" s="37">
        <f>G94*AN94</f>
        <v>0</v>
      </c>
      <c r="AW94" s="37">
        <f>G94*AO94</f>
        <v>0</v>
      </c>
      <c r="AX94" s="40" t="s">
        <v>1068</v>
      </c>
      <c r="AY94" s="40" t="s">
        <v>1114</v>
      </c>
      <c r="AZ94" s="36" t="s">
        <v>1122</v>
      </c>
      <c r="BB94" s="37">
        <f t="shared" si="32"/>
        <v>0</v>
      </c>
      <c r="BC94" s="37">
        <f>H94/(100-BD94)*100</f>
        <v>0</v>
      </c>
      <c r="BD94" s="37">
        <v>0</v>
      </c>
      <c r="BE94" s="37">
        <f>94</f>
        <v>94</v>
      </c>
      <c r="BG94" s="21">
        <f>G94*AN94</f>
        <v>0</v>
      </c>
      <c r="BH94" s="21">
        <f>G94*AO94</f>
        <v>0</v>
      </c>
      <c r="BI94" s="21">
        <f>G94*H94</f>
        <v>0</v>
      </c>
      <c r="BJ94" s="21" t="s">
        <v>1127</v>
      </c>
      <c r="BK94" s="37">
        <v>713</v>
      </c>
    </row>
    <row r="95" spans="1:63" x14ac:dyDescent="0.25">
      <c r="A95" s="6"/>
      <c r="B95" s="15" t="s">
        <v>351</v>
      </c>
      <c r="C95" s="121" t="s">
        <v>704</v>
      </c>
      <c r="D95" s="122"/>
      <c r="E95" s="122"/>
      <c r="F95" s="19" t="s">
        <v>6</v>
      </c>
      <c r="G95" s="19" t="s">
        <v>6</v>
      </c>
      <c r="H95" s="19" t="s">
        <v>6</v>
      </c>
      <c r="I95" s="43">
        <f>SUM(I96:I103)</f>
        <v>0</v>
      </c>
      <c r="J95" s="43">
        <f>SUM(J96:J103)</f>
        <v>0</v>
      </c>
      <c r="K95" s="43">
        <f>SUM(K96:K103)</f>
        <v>0</v>
      </c>
      <c r="L95" s="5"/>
      <c r="AH95" s="36"/>
      <c r="AR95" s="43">
        <f>SUM(AI96:AI103)</f>
        <v>0</v>
      </c>
      <c r="AS95" s="43">
        <f>SUM(AJ96:AJ103)</f>
        <v>0</v>
      </c>
      <c r="AT95" s="43">
        <f>SUM(AK96:AK103)</f>
        <v>0</v>
      </c>
    </row>
    <row r="96" spans="1:63" x14ac:dyDescent="0.25">
      <c r="A96" s="4" t="s">
        <v>54</v>
      </c>
      <c r="B96" s="14" t="s">
        <v>352</v>
      </c>
      <c r="C96" s="117" t="s">
        <v>705</v>
      </c>
      <c r="D96" s="118"/>
      <c r="E96" s="118"/>
      <c r="F96" s="14" t="s">
        <v>1026</v>
      </c>
      <c r="G96" s="21">
        <v>17</v>
      </c>
      <c r="H96" s="21">
        <v>0</v>
      </c>
      <c r="I96" s="21">
        <f>G96*AN96</f>
        <v>0</v>
      </c>
      <c r="J96" s="21">
        <f>G96*AO96</f>
        <v>0</v>
      </c>
      <c r="K96" s="21">
        <f t="shared" ref="K96:K103" si="33">G96*H96</f>
        <v>0</v>
      </c>
      <c r="L96" s="5"/>
      <c r="Y96" s="37">
        <f t="shared" ref="Y96:Y103" si="34">IF(AP96="5",BI96,0)</f>
        <v>0</v>
      </c>
      <c r="AA96" s="37">
        <f t="shared" ref="AA96:AA103" si="35">IF(AP96="1",BG96,0)</f>
        <v>0</v>
      </c>
      <c r="AB96" s="37">
        <f t="shared" ref="AB96:AB103" si="36">IF(AP96="1",BH96,0)</f>
        <v>0</v>
      </c>
      <c r="AC96" s="37">
        <f t="shared" ref="AC96:AC103" si="37">IF(AP96="7",BG96,0)</f>
        <v>0</v>
      </c>
      <c r="AD96" s="37">
        <f t="shared" ref="AD96:AD103" si="38">IF(AP96="7",BH96,0)</f>
        <v>0</v>
      </c>
      <c r="AE96" s="37">
        <f t="shared" ref="AE96:AE103" si="39">IF(AP96="2",BG96,0)</f>
        <v>0</v>
      </c>
      <c r="AF96" s="37">
        <f t="shared" ref="AF96:AF103" si="40">IF(AP96="2",BH96,0)</f>
        <v>0</v>
      </c>
      <c r="AG96" s="37">
        <f t="shared" ref="AG96:AG103" si="41">IF(AP96="0",BI96,0)</f>
        <v>0</v>
      </c>
      <c r="AH96" s="36"/>
      <c r="AI96" s="21">
        <f>IF(AM96=0,K96,0)</f>
        <v>0</v>
      </c>
      <c r="AJ96" s="21">
        <f>IF(AM96=15,K96,0)</f>
        <v>0</v>
      </c>
      <c r="AK96" s="21">
        <f>IF(AM96=21,K96,0)</f>
        <v>0</v>
      </c>
      <c r="AM96" s="37">
        <v>21</v>
      </c>
      <c r="AN96" s="37">
        <f>H96*0.318466922555882</f>
        <v>0</v>
      </c>
      <c r="AO96" s="37">
        <f>H96*(1-0.318466922555882)</f>
        <v>0</v>
      </c>
      <c r="AP96" s="38" t="s">
        <v>13</v>
      </c>
      <c r="AU96" s="37">
        <f t="shared" ref="AU96:AU103" si="42">AV96+AW96</f>
        <v>0</v>
      </c>
      <c r="AV96" s="37">
        <f>G96*AN96</f>
        <v>0</v>
      </c>
      <c r="AW96" s="37">
        <f>G96*AO96</f>
        <v>0</v>
      </c>
      <c r="AX96" s="40" t="s">
        <v>1069</v>
      </c>
      <c r="AY96" s="40" t="s">
        <v>1115</v>
      </c>
      <c r="AZ96" s="36" t="s">
        <v>1122</v>
      </c>
      <c r="BB96" s="37">
        <f t="shared" ref="BB96:BB103" si="43">AV96+AW96</f>
        <v>0</v>
      </c>
      <c r="BC96" s="37">
        <f>H96/(100-BD96)*100</f>
        <v>0</v>
      </c>
      <c r="BD96" s="37">
        <v>0</v>
      </c>
      <c r="BE96" s="37">
        <f>96</f>
        <v>96</v>
      </c>
      <c r="BG96" s="21">
        <f>G96*AN96</f>
        <v>0</v>
      </c>
      <c r="BH96" s="21">
        <f>G96*AO96</f>
        <v>0</v>
      </c>
      <c r="BI96" s="21">
        <f>G96*H96</f>
        <v>0</v>
      </c>
      <c r="BJ96" s="21" t="s">
        <v>1127</v>
      </c>
      <c r="BK96" s="37">
        <v>721</v>
      </c>
    </row>
    <row r="97" spans="1:63" x14ac:dyDescent="0.25">
      <c r="A97" s="4" t="s">
        <v>55</v>
      </c>
      <c r="B97" s="14" t="s">
        <v>353</v>
      </c>
      <c r="C97" s="117" t="s">
        <v>706</v>
      </c>
      <c r="D97" s="118"/>
      <c r="E97" s="118"/>
      <c r="F97" s="14" t="s">
        <v>1024</v>
      </c>
      <c r="G97" s="21">
        <v>1</v>
      </c>
      <c r="H97" s="21">
        <v>0</v>
      </c>
      <c r="I97" s="21">
        <f>G97*AN97</f>
        <v>0</v>
      </c>
      <c r="J97" s="21">
        <f>G97*AO97</f>
        <v>0</v>
      </c>
      <c r="K97" s="21">
        <f t="shared" si="33"/>
        <v>0</v>
      </c>
      <c r="L97" s="5"/>
      <c r="Y97" s="37">
        <f t="shared" si="34"/>
        <v>0</v>
      </c>
      <c r="AA97" s="37">
        <f t="shared" si="35"/>
        <v>0</v>
      </c>
      <c r="AB97" s="37">
        <f t="shared" si="36"/>
        <v>0</v>
      </c>
      <c r="AC97" s="37">
        <f t="shared" si="37"/>
        <v>0</v>
      </c>
      <c r="AD97" s="37">
        <f t="shared" si="38"/>
        <v>0</v>
      </c>
      <c r="AE97" s="37">
        <f t="shared" si="39"/>
        <v>0</v>
      </c>
      <c r="AF97" s="37">
        <f t="shared" si="40"/>
        <v>0</v>
      </c>
      <c r="AG97" s="37">
        <f t="shared" si="41"/>
        <v>0</v>
      </c>
      <c r="AH97" s="36"/>
      <c r="AI97" s="21">
        <f>IF(AM97=0,K97,0)</f>
        <v>0</v>
      </c>
      <c r="AJ97" s="21">
        <f>IF(AM97=15,K97,0)</f>
        <v>0</v>
      </c>
      <c r="AK97" s="21">
        <f>IF(AM97=21,K97,0)</f>
        <v>0</v>
      </c>
      <c r="AM97" s="37">
        <v>21</v>
      </c>
      <c r="AN97" s="37">
        <f>H97*0.566037735849057</f>
        <v>0</v>
      </c>
      <c r="AO97" s="37">
        <f>H97*(1-0.566037735849057)</f>
        <v>0</v>
      </c>
      <c r="AP97" s="38" t="s">
        <v>13</v>
      </c>
      <c r="AU97" s="37">
        <f t="shared" si="42"/>
        <v>0</v>
      </c>
      <c r="AV97" s="37">
        <f>G97*AN97</f>
        <v>0</v>
      </c>
      <c r="AW97" s="37">
        <f>G97*AO97</f>
        <v>0</v>
      </c>
      <c r="AX97" s="40" t="s">
        <v>1069</v>
      </c>
      <c r="AY97" s="40" t="s">
        <v>1115</v>
      </c>
      <c r="AZ97" s="36" t="s">
        <v>1122</v>
      </c>
      <c r="BB97" s="37">
        <f t="shared" si="43"/>
        <v>0</v>
      </c>
      <c r="BC97" s="37">
        <f>H97/(100-BD97)*100</f>
        <v>0</v>
      </c>
      <c r="BD97" s="37">
        <v>0</v>
      </c>
      <c r="BE97" s="37">
        <f>97</f>
        <v>97</v>
      </c>
      <c r="BG97" s="21">
        <f>G97*AN97</f>
        <v>0</v>
      </c>
      <c r="BH97" s="21">
        <f>G97*AO97</f>
        <v>0</v>
      </c>
      <c r="BI97" s="21">
        <f>G97*H97</f>
        <v>0</v>
      </c>
      <c r="BJ97" s="21" t="s">
        <v>1127</v>
      </c>
      <c r="BK97" s="37">
        <v>721</v>
      </c>
    </row>
    <row r="98" spans="1:63" x14ac:dyDescent="0.25">
      <c r="A98" s="4" t="s">
        <v>56</v>
      </c>
      <c r="B98" s="14" t="s">
        <v>354</v>
      </c>
      <c r="C98" s="117" t="s">
        <v>707</v>
      </c>
      <c r="D98" s="118"/>
      <c r="E98" s="118"/>
      <c r="F98" s="14" t="s">
        <v>1026</v>
      </c>
      <c r="G98" s="21">
        <v>1</v>
      </c>
      <c r="H98" s="21">
        <v>0</v>
      </c>
      <c r="I98" s="21">
        <f>G98*AN98</f>
        <v>0</v>
      </c>
      <c r="J98" s="21">
        <f>G98*AO98</f>
        <v>0</v>
      </c>
      <c r="K98" s="21">
        <f t="shared" si="33"/>
        <v>0</v>
      </c>
      <c r="L98" s="5"/>
      <c r="Y98" s="37">
        <f t="shared" si="34"/>
        <v>0</v>
      </c>
      <c r="AA98" s="37">
        <f t="shared" si="35"/>
        <v>0</v>
      </c>
      <c r="AB98" s="37">
        <f t="shared" si="36"/>
        <v>0</v>
      </c>
      <c r="AC98" s="37">
        <f t="shared" si="37"/>
        <v>0</v>
      </c>
      <c r="AD98" s="37">
        <f t="shared" si="38"/>
        <v>0</v>
      </c>
      <c r="AE98" s="37">
        <f t="shared" si="39"/>
        <v>0</v>
      </c>
      <c r="AF98" s="37">
        <f t="shared" si="40"/>
        <v>0</v>
      </c>
      <c r="AG98" s="37">
        <f t="shared" si="41"/>
        <v>0</v>
      </c>
      <c r="AH98" s="36"/>
      <c r="AI98" s="21">
        <f>IF(AM98=0,K98,0)</f>
        <v>0</v>
      </c>
      <c r="AJ98" s="21">
        <f>IF(AM98=15,K98,0)</f>
        <v>0</v>
      </c>
      <c r="AK98" s="21">
        <f>IF(AM98=21,K98,0)</f>
        <v>0</v>
      </c>
      <c r="AM98" s="37">
        <v>21</v>
      </c>
      <c r="AN98" s="37">
        <f>H98*0.391399176954733</f>
        <v>0</v>
      </c>
      <c r="AO98" s="37">
        <f>H98*(1-0.391399176954733)</f>
        <v>0</v>
      </c>
      <c r="AP98" s="38" t="s">
        <v>13</v>
      </c>
      <c r="AU98" s="37">
        <f t="shared" si="42"/>
        <v>0</v>
      </c>
      <c r="AV98" s="37">
        <f>G98*AN98</f>
        <v>0</v>
      </c>
      <c r="AW98" s="37">
        <f>G98*AO98</f>
        <v>0</v>
      </c>
      <c r="AX98" s="40" t="s">
        <v>1069</v>
      </c>
      <c r="AY98" s="40" t="s">
        <v>1115</v>
      </c>
      <c r="AZ98" s="36" t="s">
        <v>1122</v>
      </c>
      <c r="BB98" s="37">
        <f t="shared" si="43"/>
        <v>0</v>
      </c>
      <c r="BC98" s="37">
        <f>H98/(100-BD98)*100</f>
        <v>0</v>
      </c>
      <c r="BD98" s="37">
        <v>0</v>
      </c>
      <c r="BE98" s="37">
        <f>98</f>
        <v>98</v>
      </c>
      <c r="BG98" s="21">
        <f>G98*AN98</f>
        <v>0</v>
      </c>
      <c r="BH98" s="21">
        <f>G98*AO98</f>
        <v>0</v>
      </c>
      <c r="BI98" s="21">
        <f>G98*H98</f>
        <v>0</v>
      </c>
      <c r="BJ98" s="21" t="s">
        <v>1127</v>
      </c>
      <c r="BK98" s="37">
        <v>721</v>
      </c>
    </row>
    <row r="99" spans="1:63" x14ac:dyDescent="0.25">
      <c r="A99" s="4" t="s">
        <v>57</v>
      </c>
      <c r="B99" s="14" t="s">
        <v>355</v>
      </c>
      <c r="C99" s="117" t="s">
        <v>708</v>
      </c>
      <c r="D99" s="118"/>
      <c r="E99" s="118"/>
      <c r="F99" s="14" t="s">
        <v>1026</v>
      </c>
      <c r="G99" s="21">
        <v>10</v>
      </c>
      <c r="H99" s="21">
        <v>0</v>
      </c>
      <c r="I99" s="21">
        <f>G99*AN99</f>
        <v>0</v>
      </c>
      <c r="J99" s="21">
        <f>G99*AO99</f>
        <v>0</v>
      </c>
      <c r="K99" s="21">
        <f t="shared" si="33"/>
        <v>0</v>
      </c>
      <c r="L99" s="5"/>
      <c r="Y99" s="37">
        <f t="shared" si="34"/>
        <v>0</v>
      </c>
      <c r="AA99" s="37">
        <f t="shared" si="35"/>
        <v>0</v>
      </c>
      <c r="AB99" s="37">
        <f t="shared" si="36"/>
        <v>0</v>
      </c>
      <c r="AC99" s="37">
        <f t="shared" si="37"/>
        <v>0</v>
      </c>
      <c r="AD99" s="37">
        <f t="shared" si="38"/>
        <v>0</v>
      </c>
      <c r="AE99" s="37">
        <f t="shared" si="39"/>
        <v>0</v>
      </c>
      <c r="AF99" s="37">
        <f t="shared" si="40"/>
        <v>0</v>
      </c>
      <c r="AG99" s="37">
        <f t="shared" si="41"/>
        <v>0</v>
      </c>
      <c r="AH99" s="36"/>
      <c r="AI99" s="21">
        <f>IF(AM99=0,K99,0)</f>
        <v>0</v>
      </c>
      <c r="AJ99" s="21">
        <f>IF(AM99=15,K99,0)</f>
        <v>0</v>
      </c>
      <c r="AK99" s="21">
        <f>IF(AM99=21,K99,0)</f>
        <v>0</v>
      </c>
      <c r="AM99" s="37">
        <v>21</v>
      </c>
      <c r="AN99" s="37">
        <f>H99*0.341211477151966</f>
        <v>0</v>
      </c>
      <c r="AO99" s="37">
        <f>H99*(1-0.341211477151966)</f>
        <v>0</v>
      </c>
      <c r="AP99" s="38" t="s">
        <v>13</v>
      </c>
      <c r="AU99" s="37">
        <f t="shared" si="42"/>
        <v>0</v>
      </c>
      <c r="AV99" s="37">
        <f>G99*AN99</f>
        <v>0</v>
      </c>
      <c r="AW99" s="37">
        <f>G99*AO99</f>
        <v>0</v>
      </c>
      <c r="AX99" s="40" t="s">
        <v>1069</v>
      </c>
      <c r="AY99" s="40" t="s">
        <v>1115</v>
      </c>
      <c r="AZ99" s="36" t="s">
        <v>1122</v>
      </c>
      <c r="BB99" s="37">
        <f t="shared" si="43"/>
        <v>0</v>
      </c>
      <c r="BC99" s="37">
        <f>H99/(100-BD99)*100</f>
        <v>0</v>
      </c>
      <c r="BD99" s="37">
        <v>0</v>
      </c>
      <c r="BE99" s="37">
        <f>99</f>
        <v>99</v>
      </c>
      <c r="BG99" s="21">
        <f>G99*AN99</f>
        <v>0</v>
      </c>
      <c r="BH99" s="21">
        <f>G99*AO99</f>
        <v>0</v>
      </c>
      <c r="BI99" s="21">
        <f>G99*H99</f>
        <v>0</v>
      </c>
      <c r="BJ99" s="21" t="s">
        <v>1127</v>
      </c>
      <c r="BK99" s="37">
        <v>721</v>
      </c>
    </row>
    <row r="100" spans="1:63" x14ac:dyDescent="0.25">
      <c r="A100" s="4" t="s">
        <v>58</v>
      </c>
      <c r="B100" s="14" t="s">
        <v>356</v>
      </c>
      <c r="C100" s="117" t="s">
        <v>709</v>
      </c>
      <c r="D100" s="118"/>
      <c r="E100" s="118"/>
      <c r="F100" s="14" t="s">
        <v>1024</v>
      </c>
      <c r="G100" s="21">
        <v>3</v>
      </c>
      <c r="H100" s="21">
        <v>0</v>
      </c>
      <c r="I100" s="21">
        <f>G100*AN100</f>
        <v>0</v>
      </c>
      <c r="J100" s="21">
        <f>G100*AO100</f>
        <v>0</v>
      </c>
      <c r="K100" s="21">
        <f t="shared" si="33"/>
        <v>0</v>
      </c>
      <c r="L100" s="5"/>
      <c r="Y100" s="37">
        <f t="shared" si="34"/>
        <v>0</v>
      </c>
      <c r="AA100" s="37">
        <f t="shared" si="35"/>
        <v>0</v>
      </c>
      <c r="AB100" s="37">
        <f t="shared" si="36"/>
        <v>0</v>
      </c>
      <c r="AC100" s="37">
        <f t="shared" si="37"/>
        <v>0</v>
      </c>
      <c r="AD100" s="37">
        <f t="shared" si="38"/>
        <v>0</v>
      </c>
      <c r="AE100" s="37">
        <f t="shared" si="39"/>
        <v>0</v>
      </c>
      <c r="AF100" s="37">
        <f t="shared" si="40"/>
        <v>0</v>
      </c>
      <c r="AG100" s="37">
        <f t="shared" si="41"/>
        <v>0</v>
      </c>
      <c r="AH100" s="36"/>
      <c r="AI100" s="21">
        <f>IF(AM100=0,K100,0)</f>
        <v>0</v>
      </c>
      <c r="AJ100" s="21">
        <f>IF(AM100=15,K100,0)</f>
        <v>0</v>
      </c>
      <c r="AK100" s="21">
        <f>IF(AM100=21,K100,0)</f>
        <v>0</v>
      </c>
      <c r="AM100" s="37">
        <v>21</v>
      </c>
      <c r="AN100" s="37">
        <f>H100*0.61655462184874</f>
        <v>0</v>
      </c>
      <c r="AO100" s="37">
        <f>H100*(1-0.61655462184874)</f>
        <v>0</v>
      </c>
      <c r="AP100" s="38" t="s">
        <v>13</v>
      </c>
      <c r="AU100" s="37">
        <f t="shared" si="42"/>
        <v>0</v>
      </c>
      <c r="AV100" s="37">
        <f>G100*AN100</f>
        <v>0</v>
      </c>
      <c r="AW100" s="37">
        <f>G100*AO100</f>
        <v>0</v>
      </c>
      <c r="AX100" s="40" t="s">
        <v>1069</v>
      </c>
      <c r="AY100" s="40" t="s">
        <v>1115</v>
      </c>
      <c r="AZ100" s="36" t="s">
        <v>1122</v>
      </c>
      <c r="BB100" s="37">
        <f t="shared" si="43"/>
        <v>0</v>
      </c>
      <c r="BC100" s="37">
        <f>H100/(100-BD100)*100</f>
        <v>0</v>
      </c>
      <c r="BD100" s="37">
        <v>0</v>
      </c>
      <c r="BE100" s="37">
        <f>100</f>
        <v>100</v>
      </c>
      <c r="BG100" s="21">
        <f>G100*AN100</f>
        <v>0</v>
      </c>
      <c r="BH100" s="21">
        <f>G100*AO100</f>
        <v>0</v>
      </c>
      <c r="BI100" s="21">
        <f>G100*H100</f>
        <v>0</v>
      </c>
      <c r="BJ100" s="21" t="s">
        <v>1127</v>
      </c>
      <c r="BK100" s="37">
        <v>721</v>
      </c>
    </row>
    <row r="101" spans="1:63" x14ac:dyDescent="0.25">
      <c r="A101" s="4" t="s">
        <v>59</v>
      </c>
      <c r="B101" s="14" t="s">
        <v>357</v>
      </c>
      <c r="C101" s="117" t="s">
        <v>710</v>
      </c>
      <c r="D101" s="118"/>
      <c r="E101" s="118"/>
      <c r="F101" s="14" t="s">
        <v>1024</v>
      </c>
      <c r="G101" s="21">
        <v>1</v>
      </c>
      <c r="H101" s="21">
        <v>0</v>
      </c>
      <c r="I101" s="21">
        <f>G101*AN101</f>
        <v>0</v>
      </c>
      <c r="J101" s="21">
        <f>G101*AO101</f>
        <v>0</v>
      </c>
      <c r="K101" s="21">
        <f t="shared" si="33"/>
        <v>0</v>
      </c>
      <c r="L101" s="5"/>
      <c r="Y101" s="37">
        <f t="shared" si="34"/>
        <v>0</v>
      </c>
      <c r="AA101" s="37">
        <f t="shared" si="35"/>
        <v>0</v>
      </c>
      <c r="AB101" s="37">
        <f t="shared" si="36"/>
        <v>0</v>
      </c>
      <c r="AC101" s="37">
        <f t="shared" si="37"/>
        <v>0</v>
      </c>
      <c r="AD101" s="37">
        <f t="shared" si="38"/>
        <v>0</v>
      </c>
      <c r="AE101" s="37">
        <f t="shared" si="39"/>
        <v>0</v>
      </c>
      <c r="AF101" s="37">
        <f t="shared" si="40"/>
        <v>0</v>
      </c>
      <c r="AG101" s="37">
        <f t="shared" si="41"/>
        <v>0</v>
      </c>
      <c r="AH101" s="36"/>
      <c r="AI101" s="21">
        <f>IF(AM101=0,K101,0)</f>
        <v>0</v>
      </c>
      <c r="AJ101" s="21">
        <f>IF(AM101=15,K101,0)</f>
        <v>0</v>
      </c>
      <c r="AK101" s="21">
        <f>IF(AM101=21,K101,0)</f>
        <v>0</v>
      </c>
      <c r="AM101" s="37">
        <v>21</v>
      </c>
      <c r="AN101" s="37">
        <f>H101*0.246484641638225</f>
        <v>0</v>
      </c>
      <c r="AO101" s="37">
        <f>H101*(1-0.246484641638225)</f>
        <v>0</v>
      </c>
      <c r="AP101" s="38" t="s">
        <v>13</v>
      </c>
      <c r="AU101" s="37">
        <f t="shared" si="42"/>
        <v>0</v>
      </c>
      <c r="AV101" s="37">
        <f>G101*AN101</f>
        <v>0</v>
      </c>
      <c r="AW101" s="37">
        <f>G101*AO101</f>
        <v>0</v>
      </c>
      <c r="AX101" s="40" t="s">
        <v>1069</v>
      </c>
      <c r="AY101" s="40" t="s">
        <v>1115</v>
      </c>
      <c r="AZ101" s="36" t="s">
        <v>1122</v>
      </c>
      <c r="BB101" s="37">
        <f t="shared" si="43"/>
        <v>0</v>
      </c>
      <c r="BC101" s="37">
        <f>H101/(100-BD101)*100</f>
        <v>0</v>
      </c>
      <c r="BD101" s="37">
        <v>0</v>
      </c>
      <c r="BE101" s="37">
        <f>101</f>
        <v>101</v>
      </c>
      <c r="BG101" s="21">
        <f>G101*AN101</f>
        <v>0</v>
      </c>
      <c r="BH101" s="21">
        <f>G101*AO101</f>
        <v>0</v>
      </c>
      <c r="BI101" s="21">
        <f>G101*H101</f>
        <v>0</v>
      </c>
      <c r="BJ101" s="21" t="s">
        <v>1127</v>
      </c>
      <c r="BK101" s="37">
        <v>721</v>
      </c>
    </row>
    <row r="102" spans="1:63" x14ac:dyDescent="0.25">
      <c r="A102" s="4" t="s">
        <v>60</v>
      </c>
      <c r="B102" s="14" t="s">
        <v>358</v>
      </c>
      <c r="C102" s="117" t="s">
        <v>711</v>
      </c>
      <c r="D102" s="118"/>
      <c r="E102" s="118"/>
      <c r="F102" s="14" t="s">
        <v>1024</v>
      </c>
      <c r="G102" s="21">
        <v>3</v>
      </c>
      <c r="H102" s="21">
        <v>0</v>
      </c>
      <c r="I102" s="21">
        <f>G102*AN102</f>
        <v>0</v>
      </c>
      <c r="J102" s="21">
        <f>G102*AO102</f>
        <v>0</v>
      </c>
      <c r="K102" s="21">
        <f t="shared" si="33"/>
        <v>0</v>
      </c>
      <c r="L102" s="5"/>
      <c r="Y102" s="37">
        <f t="shared" si="34"/>
        <v>0</v>
      </c>
      <c r="AA102" s="37">
        <f t="shared" si="35"/>
        <v>0</v>
      </c>
      <c r="AB102" s="37">
        <f t="shared" si="36"/>
        <v>0</v>
      </c>
      <c r="AC102" s="37">
        <f t="shared" si="37"/>
        <v>0</v>
      </c>
      <c r="AD102" s="37">
        <f t="shared" si="38"/>
        <v>0</v>
      </c>
      <c r="AE102" s="37">
        <f t="shared" si="39"/>
        <v>0</v>
      </c>
      <c r="AF102" s="37">
        <f t="shared" si="40"/>
        <v>0</v>
      </c>
      <c r="AG102" s="37">
        <f t="shared" si="41"/>
        <v>0</v>
      </c>
      <c r="AH102" s="36"/>
      <c r="AI102" s="21">
        <f>IF(AM102=0,K102,0)</f>
        <v>0</v>
      </c>
      <c r="AJ102" s="21">
        <f>IF(AM102=15,K102,0)</f>
        <v>0</v>
      </c>
      <c r="AK102" s="21">
        <f>IF(AM102=21,K102,0)</f>
        <v>0</v>
      </c>
      <c r="AM102" s="37">
        <v>21</v>
      </c>
      <c r="AN102" s="37">
        <f>H102*0.660377358490566</f>
        <v>0</v>
      </c>
      <c r="AO102" s="37">
        <f>H102*(1-0.660377358490566)</f>
        <v>0</v>
      </c>
      <c r="AP102" s="38" t="s">
        <v>13</v>
      </c>
      <c r="AU102" s="37">
        <f t="shared" si="42"/>
        <v>0</v>
      </c>
      <c r="AV102" s="37">
        <f>G102*AN102</f>
        <v>0</v>
      </c>
      <c r="AW102" s="37">
        <f>G102*AO102</f>
        <v>0</v>
      </c>
      <c r="AX102" s="40" t="s">
        <v>1069</v>
      </c>
      <c r="AY102" s="40" t="s">
        <v>1115</v>
      </c>
      <c r="AZ102" s="36" t="s">
        <v>1122</v>
      </c>
      <c r="BB102" s="37">
        <f t="shared" si="43"/>
        <v>0</v>
      </c>
      <c r="BC102" s="37">
        <f>H102/(100-BD102)*100</f>
        <v>0</v>
      </c>
      <c r="BD102" s="37">
        <v>0</v>
      </c>
      <c r="BE102" s="37">
        <f>102</f>
        <v>102</v>
      </c>
      <c r="BG102" s="21">
        <f>G102*AN102</f>
        <v>0</v>
      </c>
      <c r="BH102" s="21">
        <f>G102*AO102</f>
        <v>0</v>
      </c>
      <c r="BI102" s="21">
        <f>G102*H102</f>
        <v>0</v>
      </c>
      <c r="BJ102" s="21" t="s">
        <v>1127</v>
      </c>
      <c r="BK102" s="37">
        <v>721</v>
      </c>
    </row>
    <row r="103" spans="1:63" x14ac:dyDescent="0.25">
      <c r="A103" s="4" t="s">
        <v>61</v>
      </c>
      <c r="B103" s="14" t="s">
        <v>359</v>
      </c>
      <c r="C103" s="117" t="s">
        <v>712</v>
      </c>
      <c r="D103" s="118"/>
      <c r="E103" s="118"/>
      <c r="F103" s="14" t="s">
        <v>1026</v>
      </c>
      <c r="G103" s="21">
        <v>7</v>
      </c>
      <c r="H103" s="21">
        <v>0</v>
      </c>
      <c r="I103" s="21">
        <f>G103*AN103</f>
        <v>0</v>
      </c>
      <c r="J103" s="21">
        <f>G103*AO103</f>
        <v>0</v>
      </c>
      <c r="K103" s="21">
        <f t="shared" si="33"/>
        <v>0</v>
      </c>
      <c r="L103" s="5"/>
      <c r="Y103" s="37">
        <f t="shared" si="34"/>
        <v>0</v>
      </c>
      <c r="AA103" s="37">
        <f t="shared" si="35"/>
        <v>0</v>
      </c>
      <c r="AB103" s="37">
        <f t="shared" si="36"/>
        <v>0</v>
      </c>
      <c r="AC103" s="37">
        <f t="shared" si="37"/>
        <v>0</v>
      </c>
      <c r="AD103" s="37">
        <f t="shared" si="38"/>
        <v>0</v>
      </c>
      <c r="AE103" s="37">
        <f t="shared" si="39"/>
        <v>0</v>
      </c>
      <c r="AF103" s="37">
        <f t="shared" si="40"/>
        <v>0</v>
      </c>
      <c r="AG103" s="37">
        <f t="shared" si="41"/>
        <v>0</v>
      </c>
      <c r="AH103" s="36"/>
      <c r="AI103" s="21">
        <f>IF(AM103=0,K103,0)</f>
        <v>0</v>
      </c>
      <c r="AJ103" s="21">
        <f>IF(AM103=15,K103,0)</f>
        <v>0</v>
      </c>
      <c r="AK103" s="21">
        <f>IF(AM103=21,K103,0)</f>
        <v>0</v>
      </c>
      <c r="AM103" s="37">
        <v>21</v>
      </c>
      <c r="AN103" s="37">
        <f>H103*0.231132075471698</f>
        <v>0</v>
      </c>
      <c r="AO103" s="37">
        <f>H103*(1-0.231132075471698)</f>
        <v>0</v>
      </c>
      <c r="AP103" s="38" t="s">
        <v>13</v>
      </c>
      <c r="AU103" s="37">
        <f t="shared" si="42"/>
        <v>0</v>
      </c>
      <c r="AV103" s="37">
        <f>G103*AN103</f>
        <v>0</v>
      </c>
      <c r="AW103" s="37">
        <f>G103*AO103</f>
        <v>0</v>
      </c>
      <c r="AX103" s="40" t="s">
        <v>1069</v>
      </c>
      <c r="AY103" s="40" t="s">
        <v>1115</v>
      </c>
      <c r="AZ103" s="36" t="s">
        <v>1122</v>
      </c>
      <c r="BB103" s="37">
        <f t="shared" si="43"/>
        <v>0</v>
      </c>
      <c r="BC103" s="37">
        <f>H103/(100-BD103)*100</f>
        <v>0</v>
      </c>
      <c r="BD103" s="37">
        <v>0</v>
      </c>
      <c r="BE103" s="37">
        <f>103</f>
        <v>103</v>
      </c>
      <c r="BG103" s="21">
        <f>G103*AN103</f>
        <v>0</v>
      </c>
      <c r="BH103" s="21">
        <f>G103*AO103</f>
        <v>0</v>
      </c>
      <c r="BI103" s="21">
        <f>G103*H103</f>
        <v>0</v>
      </c>
      <c r="BJ103" s="21" t="s">
        <v>1127</v>
      </c>
      <c r="BK103" s="37">
        <v>721</v>
      </c>
    </row>
    <row r="104" spans="1:63" x14ac:dyDescent="0.25">
      <c r="A104" s="6"/>
      <c r="B104" s="15" t="s">
        <v>360</v>
      </c>
      <c r="C104" s="121" t="s">
        <v>713</v>
      </c>
      <c r="D104" s="122"/>
      <c r="E104" s="122"/>
      <c r="F104" s="19" t="s">
        <v>6</v>
      </c>
      <c r="G104" s="19" t="s">
        <v>6</v>
      </c>
      <c r="H104" s="19" t="s">
        <v>6</v>
      </c>
      <c r="I104" s="43">
        <f>SUM(I105:I112)</f>
        <v>0</v>
      </c>
      <c r="J104" s="43">
        <f>SUM(J105:J112)</f>
        <v>0</v>
      </c>
      <c r="K104" s="43">
        <f>SUM(K105:K112)</f>
        <v>0</v>
      </c>
      <c r="L104" s="5"/>
      <c r="AH104" s="36"/>
      <c r="AR104" s="43">
        <f>SUM(AI105:AI112)</f>
        <v>0</v>
      </c>
      <c r="AS104" s="43">
        <f>SUM(AJ105:AJ112)</f>
        <v>0</v>
      </c>
      <c r="AT104" s="43">
        <f>SUM(AK105:AK112)</f>
        <v>0</v>
      </c>
    </row>
    <row r="105" spans="1:63" x14ac:dyDescent="0.25">
      <c r="A105" s="4" t="s">
        <v>62</v>
      </c>
      <c r="B105" s="14" t="s">
        <v>361</v>
      </c>
      <c r="C105" s="117" t="s">
        <v>714</v>
      </c>
      <c r="D105" s="118"/>
      <c r="E105" s="118"/>
      <c r="F105" s="14" t="s">
        <v>1024</v>
      </c>
      <c r="G105" s="21">
        <v>1</v>
      </c>
      <c r="H105" s="21">
        <v>0</v>
      </c>
      <c r="I105" s="21">
        <f>G105*AN105</f>
        <v>0</v>
      </c>
      <c r="J105" s="21">
        <f>G105*AO105</f>
        <v>0</v>
      </c>
      <c r="K105" s="21">
        <f t="shared" ref="K105:K112" si="44">G105*H105</f>
        <v>0</v>
      </c>
      <c r="L105" s="5"/>
      <c r="Y105" s="37">
        <f t="shared" ref="Y105:Y112" si="45">IF(AP105="5",BI105,0)</f>
        <v>0</v>
      </c>
      <c r="AA105" s="37">
        <f t="shared" ref="AA105:AA112" si="46">IF(AP105="1",BG105,0)</f>
        <v>0</v>
      </c>
      <c r="AB105" s="37">
        <f t="shared" ref="AB105:AB112" si="47">IF(AP105="1",BH105,0)</f>
        <v>0</v>
      </c>
      <c r="AC105" s="37">
        <f t="shared" ref="AC105:AC112" si="48">IF(AP105="7",BG105,0)</f>
        <v>0</v>
      </c>
      <c r="AD105" s="37">
        <f t="shared" ref="AD105:AD112" si="49">IF(AP105="7",BH105,0)</f>
        <v>0</v>
      </c>
      <c r="AE105" s="37">
        <f t="shared" ref="AE105:AE112" si="50">IF(AP105="2",BG105,0)</f>
        <v>0</v>
      </c>
      <c r="AF105" s="37">
        <f t="shared" ref="AF105:AF112" si="51">IF(AP105="2",BH105,0)</f>
        <v>0</v>
      </c>
      <c r="AG105" s="37">
        <f t="shared" ref="AG105:AG112" si="52">IF(AP105="0",BI105,0)</f>
        <v>0</v>
      </c>
      <c r="AH105" s="36"/>
      <c r="AI105" s="21">
        <f>IF(AM105=0,K105,0)</f>
        <v>0</v>
      </c>
      <c r="AJ105" s="21">
        <f>IF(AM105=15,K105,0)</f>
        <v>0</v>
      </c>
      <c r="AK105" s="21">
        <f>IF(AM105=21,K105,0)</f>
        <v>0</v>
      </c>
      <c r="AM105" s="37">
        <v>21</v>
      </c>
      <c r="AN105" s="37">
        <f>H105*0.5653125</f>
        <v>0</v>
      </c>
      <c r="AO105" s="37">
        <f>H105*(1-0.5653125)</f>
        <v>0</v>
      </c>
      <c r="AP105" s="38" t="s">
        <v>13</v>
      </c>
      <c r="AU105" s="37">
        <f t="shared" ref="AU105:AU112" si="53">AV105+AW105</f>
        <v>0</v>
      </c>
      <c r="AV105" s="37">
        <f>G105*AN105</f>
        <v>0</v>
      </c>
      <c r="AW105" s="37">
        <f>G105*AO105</f>
        <v>0</v>
      </c>
      <c r="AX105" s="40" t="s">
        <v>1070</v>
      </c>
      <c r="AY105" s="40" t="s">
        <v>1115</v>
      </c>
      <c r="AZ105" s="36" t="s">
        <v>1122</v>
      </c>
      <c r="BB105" s="37">
        <f t="shared" ref="BB105:BB112" si="54">AV105+AW105</f>
        <v>0</v>
      </c>
      <c r="BC105" s="37">
        <f>H105/(100-BD105)*100</f>
        <v>0</v>
      </c>
      <c r="BD105" s="37">
        <v>0</v>
      </c>
      <c r="BE105" s="37">
        <f>105</f>
        <v>105</v>
      </c>
      <c r="BG105" s="21">
        <f>G105*AN105</f>
        <v>0</v>
      </c>
      <c r="BH105" s="21">
        <f>G105*AO105</f>
        <v>0</v>
      </c>
      <c r="BI105" s="21">
        <f>G105*H105</f>
        <v>0</v>
      </c>
      <c r="BJ105" s="21" t="s">
        <v>1127</v>
      </c>
      <c r="BK105" s="37">
        <v>722</v>
      </c>
    </row>
    <row r="106" spans="1:63" x14ac:dyDescent="0.25">
      <c r="A106" s="4" t="s">
        <v>63</v>
      </c>
      <c r="B106" s="14" t="s">
        <v>362</v>
      </c>
      <c r="C106" s="117" t="s">
        <v>715</v>
      </c>
      <c r="D106" s="118"/>
      <c r="E106" s="118"/>
      <c r="F106" s="14" t="s">
        <v>1026</v>
      </c>
      <c r="G106" s="21">
        <v>4</v>
      </c>
      <c r="H106" s="21">
        <v>0</v>
      </c>
      <c r="I106" s="21">
        <f>G106*AN106</f>
        <v>0</v>
      </c>
      <c r="J106" s="21">
        <f>G106*AO106</f>
        <v>0</v>
      </c>
      <c r="K106" s="21">
        <f t="shared" si="44"/>
        <v>0</v>
      </c>
      <c r="L106" s="5"/>
      <c r="Y106" s="37">
        <f t="shared" si="45"/>
        <v>0</v>
      </c>
      <c r="AA106" s="37">
        <f t="shared" si="46"/>
        <v>0</v>
      </c>
      <c r="AB106" s="37">
        <f t="shared" si="47"/>
        <v>0</v>
      </c>
      <c r="AC106" s="37">
        <f t="shared" si="48"/>
        <v>0</v>
      </c>
      <c r="AD106" s="37">
        <f t="shared" si="49"/>
        <v>0</v>
      </c>
      <c r="AE106" s="37">
        <f t="shared" si="50"/>
        <v>0</v>
      </c>
      <c r="AF106" s="37">
        <f t="shared" si="51"/>
        <v>0</v>
      </c>
      <c r="AG106" s="37">
        <f t="shared" si="52"/>
        <v>0</v>
      </c>
      <c r="AH106" s="36"/>
      <c r="AI106" s="21">
        <f>IF(AM106=0,K106,0)</f>
        <v>0</v>
      </c>
      <c r="AJ106" s="21">
        <f>IF(AM106=15,K106,0)</f>
        <v>0</v>
      </c>
      <c r="AK106" s="21">
        <f>IF(AM106=21,K106,0)</f>
        <v>0</v>
      </c>
      <c r="AM106" s="37">
        <v>21</v>
      </c>
      <c r="AN106" s="37">
        <f>H106*0</f>
        <v>0</v>
      </c>
      <c r="AO106" s="37">
        <f>H106*(1-0)</f>
        <v>0</v>
      </c>
      <c r="AP106" s="38" t="s">
        <v>13</v>
      </c>
      <c r="AU106" s="37">
        <f t="shared" si="53"/>
        <v>0</v>
      </c>
      <c r="AV106" s="37">
        <f>G106*AN106</f>
        <v>0</v>
      </c>
      <c r="AW106" s="37">
        <f>G106*AO106</f>
        <v>0</v>
      </c>
      <c r="AX106" s="40" t="s">
        <v>1070</v>
      </c>
      <c r="AY106" s="40" t="s">
        <v>1115</v>
      </c>
      <c r="AZ106" s="36" t="s">
        <v>1122</v>
      </c>
      <c r="BB106" s="37">
        <f t="shared" si="54"/>
        <v>0</v>
      </c>
      <c r="BC106" s="37">
        <f>H106/(100-BD106)*100</f>
        <v>0</v>
      </c>
      <c r="BD106" s="37">
        <v>0</v>
      </c>
      <c r="BE106" s="37">
        <f>106</f>
        <v>106</v>
      </c>
      <c r="BG106" s="21">
        <f>G106*AN106</f>
        <v>0</v>
      </c>
      <c r="BH106" s="21">
        <f>G106*AO106</f>
        <v>0</v>
      </c>
      <c r="BI106" s="21">
        <f>G106*H106</f>
        <v>0</v>
      </c>
      <c r="BJ106" s="21" t="s">
        <v>1127</v>
      </c>
      <c r="BK106" s="37">
        <v>722</v>
      </c>
    </row>
    <row r="107" spans="1:63" x14ac:dyDescent="0.25">
      <c r="A107" s="4" t="s">
        <v>64</v>
      </c>
      <c r="B107" s="14" t="s">
        <v>363</v>
      </c>
      <c r="C107" s="117" t="s">
        <v>716</v>
      </c>
      <c r="D107" s="118"/>
      <c r="E107" s="118"/>
      <c r="F107" s="14" t="s">
        <v>1026</v>
      </c>
      <c r="G107" s="21">
        <v>4</v>
      </c>
      <c r="H107" s="21">
        <v>0</v>
      </c>
      <c r="I107" s="21">
        <f>G107*AN107</f>
        <v>0</v>
      </c>
      <c r="J107" s="21">
        <f>G107*AO107</f>
        <v>0</v>
      </c>
      <c r="K107" s="21">
        <f t="shared" si="44"/>
        <v>0</v>
      </c>
      <c r="L107" s="5"/>
      <c r="Y107" s="37">
        <f t="shared" si="45"/>
        <v>0</v>
      </c>
      <c r="AA107" s="37">
        <f t="shared" si="46"/>
        <v>0</v>
      </c>
      <c r="AB107" s="37">
        <f t="shared" si="47"/>
        <v>0</v>
      </c>
      <c r="AC107" s="37">
        <f t="shared" si="48"/>
        <v>0</v>
      </c>
      <c r="AD107" s="37">
        <f t="shared" si="49"/>
        <v>0</v>
      </c>
      <c r="AE107" s="37">
        <f t="shared" si="50"/>
        <v>0</v>
      </c>
      <c r="AF107" s="37">
        <f t="shared" si="51"/>
        <v>0</v>
      </c>
      <c r="AG107" s="37">
        <f t="shared" si="52"/>
        <v>0</v>
      </c>
      <c r="AH107" s="36"/>
      <c r="AI107" s="21">
        <f>IF(AM107=0,K107,0)</f>
        <v>0</v>
      </c>
      <c r="AJ107" s="21">
        <f>IF(AM107=15,K107,0)</f>
        <v>0</v>
      </c>
      <c r="AK107" s="21">
        <f>IF(AM107=21,K107,0)</f>
        <v>0</v>
      </c>
      <c r="AM107" s="37">
        <v>21</v>
      </c>
      <c r="AN107" s="37">
        <f>H107*0</f>
        <v>0</v>
      </c>
      <c r="AO107" s="37">
        <f>H107*(1-0)</f>
        <v>0</v>
      </c>
      <c r="AP107" s="38" t="s">
        <v>13</v>
      </c>
      <c r="AU107" s="37">
        <f t="shared" si="53"/>
        <v>0</v>
      </c>
      <c r="AV107" s="37">
        <f>G107*AN107</f>
        <v>0</v>
      </c>
      <c r="AW107" s="37">
        <f>G107*AO107</f>
        <v>0</v>
      </c>
      <c r="AX107" s="40" t="s">
        <v>1070</v>
      </c>
      <c r="AY107" s="40" t="s">
        <v>1115</v>
      </c>
      <c r="AZ107" s="36" t="s">
        <v>1122</v>
      </c>
      <c r="BB107" s="37">
        <f t="shared" si="54"/>
        <v>0</v>
      </c>
      <c r="BC107" s="37">
        <f>H107/(100-BD107)*100</f>
        <v>0</v>
      </c>
      <c r="BD107" s="37">
        <v>0</v>
      </c>
      <c r="BE107" s="37">
        <f>107</f>
        <v>107</v>
      </c>
      <c r="BG107" s="21">
        <f>G107*AN107</f>
        <v>0</v>
      </c>
      <c r="BH107" s="21">
        <f>G107*AO107</f>
        <v>0</v>
      </c>
      <c r="BI107" s="21">
        <f>G107*H107</f>
        <v>0</v>
      </c>
      <c r="BJ107" s="21" t="s">
        <v>1127</v>
      </c>
      <c r="BK107" s="37">
        <v>722</v>
      </c>
    </row>
    <row r="108" spans="1:63" x14ac:dyDescent="0.25">
      <c r="A108" s="4" t="s">
        <v>65</v>
      </c>
      <c r="B108" s="14" t="s">
        <v>364</v>
      </c>
      <c r="C108" s="117" t="s">
        <v>717</v>
      </c>
      <c r="D108" s="118"/>
      <c r="E108" s="118"/>
      <c r="F108" s="14" t="s">
        <v>1024</v>
      </c>
      <c r="G108" s="21">
        <v>1</v>
      </c>
      <c r="H108" s="21">
        <v>0</v>
      </c>
      <c r="I108" s="21">
        <f>G108*AN108</f>
        <v>0</v>
      </c>
      <c r="J108" s="21">
        <f>G108*AO108</f>
        <v>0</v>
      </c>
      <c r="K108" s="21">
        <f t="shared" si="44"/>
        <v>0</v>
      </c>
      <c r="L108" s="5"/>
      <c r="Y108" s="37">
        <f t="shared" si="45"/>
        <v>0</v>
      </c>
      <c r="AA108" s="37">
        <f t="shared" si="46"/>
        <v>0</v>
      </c>
      <c r="AB108" s="37">
        <f t="shared" si="47"/>
        <v>0</v>
      </c>
      <c r="AC108" s="37">
        <f t="shared" si="48"/>
        <v>0</v>
      </c>
      <c r="AD108" s="37">
        <f t="shared" si="49"/>
        <v>0</v>
      </c>
      <c r="AE108" s="37">
        <f t="shared" si="50"/>
        <v>0</v>
      </c>
      <c r="AF108" s="37">
        <f t="shared" si="51"/>
        <v>0</v>
      </c>
      <c r="AG108" s="37">
        <f t="shared" si="52"/>
        <v>0</v>
      </c>
      <c r="AH108" s="36"/>
      <c r="AI108" s="21">
        <f>IF(AM108=0,K108,0)</f>
        <v>0</v>
      </c>
      <c r="AJ108" s="21">
        <f>IF(AM108=15,K108,0)</f>
        <v>0</v>
      </c>
      <c r="AK108" s="21">
        <f>IF(AM108=21,K108,0)</f>
        <v>0</v>
      </c>
      <c r="AM108" s="37">
        <v>21</v>
      </c>
      <c r="AN108" s="37">
        <f>H108*0.434245049504951</f>
        <v>0</v>
      </c>
      <c r="AO108" s="37">
        <f>H108*(1-0.434245049504951)</f>
        <v>0</v>
      </c>
      <c r="AP108" s="38" t="s">
        <v>13</v>
      </c>
      <c r="AU108" s="37">
        <f t="shared" si="53"/>
        <v>0</v>
      </c>
      <c r="AV108" s="37">
        <f>G108*AN108</f>
        <v>0</v>
      </c>
      <c r="AW108" s="37">
        <f>G108*AO108</f>
        <v>0</v>
      </c>
      <c r="AX108" s="40" t="s">
        <v>1070</v>
      </c>
      <c r="AY108" s="40" t="s">
        <v>1115</v>
      </c>
      <c r="AZ108" s="36" t="s">
        <v>1122</v>
      </c>
      <c r="BB108" s="37">
        <f t="shared" si="54"/>
        <v>0</v>
      </c>
      <c r="BC108" s="37">
        <f>H108/(100-BD108)*100</f>
        <v>0</v>
      </c>
      <c r="BD108" s="37">
        <v>0</v>
      </c>
      <c r="BE108" s="37">
        <f>108</f>
        <v>108</v>
      </c>
      <c r="BG108" s="21">
        <f>G108*AN108</f>
        <v>0</v>
      </c>
      <c r="BH108" s="21">
        <f>G108*AO108</f>
        <v>0</v>
      </c>
      <c r="BI108" s="21">
        <f>G108*H108</f>
        <v>0</v>
      </c>
      <c r="BJ108" s="21" t="s">
        <v>1127</v>
      </c>
      <c r="BK108" s="37">
        <v>722</v>
      </c>
    </row>
    <row r="109" spans="1:63" x14ac:dyDescent="0.25">
      <c r="A109" s="4" t="s">
        <v>66</v>
      </c>
      <c r="B109" s="14" t="s">
        <v>365</v>
      </c>
      <c r="C109" s="117" t="s">
        <v>718</v>
      </c>
      <c r="D109" s="118"/>
      <c r="E109" s="118"/>
      <c r="F109" s="14" t="s">
        <v>1026</v>
      </c>
      <c r="G109" s="21">
        <v>9</v>
      </c>
      <c r="H109" s="21">
        <v>0</v>
      </c>
      <c r="I109" s="21">
        <f>G109*AN109</f>
        <v>0</v>
      </c>
      <c r="J109" s="21">
        <f>G109*AO109</f>
        <v>0</v>
      </c>
      <c r="K109" s="21">
        <f t="shared" si="44"/>
        <v>0</v>
      </c>
      <c r="L109" s="5"/>
      <c r="Y109" s="37">
        <f t="shared" si="45"/>
        <v>0</v>
      </c>
      <c r="AA109" s="37">
        <f t="shared" si="46"/>
        <v>0</v>
      </c>
      <c r="AB109" s="37">
        <f t="shared" si="47"/>
        <v>0</v>
      </c>
      <c r="AC109" s="37">
        <f t="shared" si="48"/>
        <v>0</v>
      </c>
      <c r="AD109" s="37">
        <f t="shared" si="49"/>
        <v>0</v>
      </c>
      <c r="AE109" s="37">
        <f t="shared" si="50"/>
        <v>0</v>
      </c>
      <c r="AF109" s="37">
        <f t="shared" si="51"/>
        <v>0</v>
      </c>
      <c r="AG109" s="37">
        <f t="shared" si="52"/>
        <v>0</v>
      </c>
      <c r="AH109" s="36"/>
      <c r="AI109" s="21">
        <f>IF(AM109=0,K109,0)</f>
        <v>0</v>
      </c>
      <c r="AJ109" s="21">
        <f>IF(AM109=15,K109,0)</f>
        <v>0</v>
      </c>
      <c r="AK109" s="21">
        <f>IF(AM109=21,K109,0)</f>
        <v>0</v>
      </c>
      <c r="AM109" s="37">
        <v>21</v>
      </c>
      <c r="AN109" s="37">
        <f>H109*0.330872188699945</f>
        <v>0</v>
      </c>
      <c r="AO109" s="37">
        <f>H109*(1-0.330872188699945)</f>
        <v>0</v>
      </c>
      <c r="AP109" s="38" t="s">
        <v>13</v>
      </c>
      <c r="AU109" s="37">
        <f t="shared" si="53"/>
        <v>0</v>
      </c>
      <c r="AV109" s="37">
        <f>G109*AN109</f>
        <v>0</v>
      </c>
      <c r="AW109" s="37">
        <f>G109*AO109</f>
        <v>0</v>
      </c>
      <c r="AX109" s="40" t="s">
        <v>1070</v>
      </c>
      <c r="AY109" s="40" t="s">
        <v>1115</v>
      </c>
      <c r="AZ109" s="36" t="s">
        <v>1122</v>
      </c>
      <c r="BB109" s="37">
        <f t="shared" si="54"/>
        <v>0</v>
      </c>
      <c r="BC109" s="37">
        <f>H109/(100-BD109)*100</f>
        <v>0</v>
      </c>
      <c r="BD109" s="37">
        <v>0</v>
      </c>
      <c r="BE109" s="37">
        <f>109</f>
        <v>109</v>
      </c>
      <c r="BG109" s="21">
        <f>G109*AN109</f>
        <v>0</v>
      </c>
      <c r="BH109" s="21">
        <f>G109*AO109</f>
        <v>0</v>
      </c>
      <c r="BI109" s="21">
        <f>G109*H109</f>
        <v>0</v>
      </c>
      <c r="BJ109" s="21" t="s">
        <v>1127</v>
      </c>
      <c r="BK109" s="37">
        <v>722</v>
      </c>
    </row>
    <row r="110" spans="1:63" x14ac:dyDescent="0.25">
      <c r="A110" s="4" t="s">
        <v>67</v>
      </c>
      <c r="B110" s="14" t="s">
        <v>366</v>
      </c>
      <c r="C110" s="117" t="s">
        <v>719</v>
      </c>
      <c r="D110" s="118"/>
      <c r="E110" s="118"/>
      <c r="F110" s="14" t="s">
        <v>1024</v>
      </c>
      <c r="G110" s="21">
        <v>1</v>
      </c>
      <c r="H110" s="21">
        <v>0</v>
      </c>
      <c r="I110" s="21">
        <f>G110*AN110</f>
        <v>0</v>
      </c>
      <c r="J110" s="21">
        <f>G110*AO110</f>
        <v>0</v>
      </c>
      <c r="K110" s="21">
        <f t="shared" si="44"/>
        <v>0</v>
      </c>
      <c r="L110" s="5"/>
      <c r="Y110" s="37">
        <f t="shared" si="45"/>
        <v>0</v>
      </c>
      <c r="AA110" s="37">
        <f t="shared" si="46"/>
        <v>0</v>
      </c>
      <c r="AB110" s="37">
        <f t="shared" si="47"/>
        <v>0</v>
      </c>
      <c r="AC110" s="37">
        <f t="shared" si="48"/>
        <v>0</v>
      </c>
      <c r="AD110" s="37">
        <f t="shared" si="49"/>
        <v>0</v>
      </c>
      <c r="AE110" s="37">
        <f t="shared" si="50"/>
        <v>0</v>
      </c>
      <c r="AF110" s="37">
        <f t="shared" si="51"/>
        <v>0</v>
      </c>
      <c r="AG110" s="37">
        <f t="shared" si="52"/>
        <v>0</v>
      </c>
      <c r="AH110" s="36"/>
      <c r="AI110" s="21">
        <f>IF(AM110=0,K110,0)</f>
        <v>0</v>
      </c>
      <c r="AJ110" s="21">
        <f>IF(AM110=15,K110,0)</f>
        <v>0</v>
      </c>
      <c r="AK110" s="21">
        <f>IF(AM110=21,K110,0)</f>
        <v>0</v>
      </c>
      <c r="AM110" s="37">
        <v>21</v>
      </c>
      <c r="AN110" s="37">
        <f>H110*0</f>
        <v>0</v>
      </c>
      <c r="AO110" s="37">
        <f>H110*(1-0)</f>
        <v>0</v>
      </c>
      <c r="AP110" s="38" t="s">
        <v>13</v>
      </c>
      <c r="AU110" s="37">
        <f t="shared" si="53"/>
        <v>0</v>
      </c>
      <c r="AV110" s="37">
        <f>G110*AN110</f>
        <v>0</v>
      </c>
      <c r="AW110" s="37">
        <f>G110*AO110</f>
        <v>0</v>
      </c>
      <c r="AX110" s="40" t="s">
        <v>1070</v>
      </c>
      <c r="AY110" s="40" t="s">
        <v>1115</v>
      </c>
      <c r="AZ110" s="36" t="s">
        <v>1122</v>
      </c>
      <c r="BB110" s="37">
        <f t="shared" si="54"/>
        <v>0</v>
      </c>
      <c r="BC110" s="37">
        <f>H110/(100-BD110)*100</f>
        <v>0</v>
      </c>
      <c r="BD110" s="37">
        <v>0</v>
      </c>
      <c r="BE110" s="37">
        <f>110</f>
        <v>110</v>
      </c>
      <c r="BG110" s="21">
        <f>G110*AN110</f>
        <v>0</v>
      </c>
      <c r="BH110" s="21">
        <f>G110*AO110</f>
        <v>0</v>
      </c>
      <c r="BI110" s="21">
        <f>G110*H110</f>
        <v>0</v>
      </c>
      <c r="BJ110" s="21" t="s">
        <v>1127</v>
      </c>
      <c r="BK110" s="37">
        <v>722</v>
      </c>
    </row>
    <row r="111" spans="1:63" x14ac:dyDescent="0.25">
      <c r="A111" s="4" t="s">
        <v>68</v>
      </c>
      <c r="B111" s="14" t="s">
        <v>367</v>
      </c>
      <c r="C111" s="117" t="s">
        <v>720</v>
      </c>
      <c r="D111" s="118"/>
      <c r="E111" s="118"/>
      <c r="F111" s="14" t="s">
        <v>1024</v>
      </c>
      <c r="G111" s="21">
        <v>1</v>
      </c>
      <c r="H111" s="21">
        <v>0</v>
      </c>
      <c r="I111" s="21">
        <f>G111*AN111</f>
        <v>0</v>
      </c>
      <c r="J111" s="21">
        <f>G111*AO111</f>
        <v>0</v>
      </c>
      <c r="K111" s="21">
        <f t="shared" si="44"/>
        <v>0</v>
      </c>
      <c r="L111" s="5"/>
      <c r="Y111" s="37">
        <f t="shared" si="45"/>
        <v>0</v>
      </c>
      <c r="AA111" s="37">
        <f t="shared" si="46"/>
        <v>0</v>
      </c>
      <c r="AB111" s="37">
        <f t="shared" si="47"/>
        <v>0</v>
      </c>
      <c r="AC111" s="37">
        <f t="shared" si="48"/>
        <v>0</v>
      </c>
      <c r="AD111" s="37">
        <f t="shared" si="49"/>
        <v>0</v>
      </c>
      <c r="AE111" s="37">
        <f t="shared" si="50"/>
        <v>0</v>
      </c>
      <c r="AF111" s="37">
        <f t="shared" si="51"/>
        <v>0</v>
      </c>
      <c r="AG111" s="37">
        <f t="shared" si="52"/>
        <v>0</v>
      </c>
      <c r="AH111" s="36"/>
      <c r="AI111" s="21">
        <f>IF(AM111=0,K111,0)</f>
        <v>0</v>
      </c>
      <c r="AJ111" s="21">
        <f>IF(AM111=15,K111,0)</f>
        <v>0</v>
      </c>
      <c r="AK111" s="21">
        <f>IF(AM111=21,K111,0)</f>
        <v>0</v>
      </c>
      <c r="AM111" s="37">
        <v>21</v>
      </c>
      <c r="AN111" s="37">
        <f>H111*0.4980625</f>
        <v>0</v>
      </c>
      <c r="AO111" s="37">
        <f>H111*(1-0.4980625)</f>
        <v>0</v>
      </c>
      <c r="AP111" s="38" t="s">
        <v>13</v>
      </c>
      <c r="AU111" s="37">
        <f t="shared" si="53"/>
        <v>0</v>
      </c>
      <c r="AV111" s="37">
        <f>G111*AN111</f>
        <v>0</v>
      </c>
      <c r="AW111" s="37">
        <f>G111*AO111</f>
        <v>0</v>
      </c>
      <c r="AX111" s="40" t="s">
        <v>1070</v>
      </c>
      <c r="AY111" s="40" t="s">
        <v>1115</v>
      </c>
      <c r="AZ111" s="36" t="s">
        <v>1122</v>
      </c>
      <c r="BB111" s="37">
        <f t="shared" si="54"/>
        <v>0</v>
      </c>
      <c r="BC111" s="37">
        <f>H111/(100-BD111)*100</f>
        <v>0</v>
      </c>
      <c r="BD111" s="37">
        <v>0</v>
      </c>
      <c r="BE111" s="37">
        <f>111</f>
        <v>111</v>
      </c>
      <c r="BG111" s="21">
        <f>G111*AN111</f>
        <v>0</v>
      </c>
      <c r="BH111" s="21">
        <f>G111*AO111</f>
        <v>0</v>
      </c>
      <c r="BI111" s="21">
        <f>G111*H111</f>
        <v>0</v>
      </c>
      <c r="BJ111" s="21" t="s">
        <v>1127</v>
      </c>
      <c r="BK111" s="37">
        <v>722</v>
      </c>
    </row>
    <row r="112" spans="1:63" x14ac:dyDescent="0.25">
      <c r="A112" s="4" t="s">
        <v>69</v>
      </c>
      <c r="B112" s="14" t="s">
        <v>368</v>
      </c>
      <c r="C112" s="117" t="s">
        <v>721</v>
      </c>
      <c r="D112" s="118"/>
      <c r="E112" s="118"/>
      <c r="F112" s="14" t="s">
        <v>1026</v>
      </c>
      <c r="G112" s="21">
        <v>9</v>
      </c>
      <c r="H112" s="21">
        <v>0</v>
      </c>
      <c r="I112" s="21">
        <f>G112*AN112</f>
        <v>0</v>
      </c>
      <c r="J112" s="21">
        <f>G112*AO112</f>
        <v>0</v>
      </c>
      <c r="K112" s="21">
        <f t="shared" si="44"/>
        <v>0</v>
      </c>
      <c r="L112" s="5"/>
      <c r="Y112" s="37">
        <f t="shared" si="45"/>
        <v>0</v>
      </c>
      <c r="AA112" s="37">
        <f t="shared" si="46"/>
        <v>0</v>
      </c>
      <c r="AB112" s="37">
        <f t="shared" si="47"/>
        <v>0</v>
      </c>
      <c r="AC112" s="37">
        <f t="shared" si="48"/>
        <v>0</v>
      </c>
      <c r="AD112" s="37">
        <f t="shared" si="49"/>
        <v>0</v>
      </c>
      <c r="AE112" s="37">
        <f t="shared" si="50"/>
        <v>0</v>
      </c>
      <c r="AF112" s="37">
        <f t="shared" si="51"/>
        <v>0</v>
      </c>
      <c r="AG112" s="37">
        <f t="shared" si="52"/>
        <v>0</v>
      </c>
      <c r="AH112" s="36"/>
      <c r="AI112" s="21">
        <f>IF(AM112=0,K112,0)</f>
        <v>0</v>
      </c>
      <c r="AJ112" s="21">
        <f>IF(AM112=15,K112,0)</f>
        <v>0</v>
      </c>
      <c r="AK112" s="21">
        <f>IF(AM112=21,K112,0)</f>
        <v>0</v>
      </c>
      <c r="AM112" s="37">
        <v>21</v>
      </c>
      <c r="AN112" s="37">
        <f>H112*0.0146511627906977</f>
        <v>0</v>
      </c>
      <c r="AO112" s="37">
        <f>H112*(1-0.0146511627906977)</f>
        <v>0</v>
      </c>
      <c r="AP112" s="38" t="s">
        <v>13</v>
      </c>
      <c r="AU112" s="37">
        <f t="shared" si="53"/>
        <v>0</v>
      </c>
      <c r="AV112" s="37">
        <f>G112*AN112</f>
        <v>0</v>
      </c>
      <c r="AW112" s="37">
        <f>G112*AO112</f>
        <v>0</v>
      </c>
      <c r="AX112" s="40" t="s">
        <v>1070</v>
      </c>
      <c r="AY112" s="40" t="s">
        <v>1115</v>
      </c>
      <c r="AZ112" s="36" t="s">
        <v>1122</v>
      </c>
      <c r="BB112" s="37">
        <f t="shared" si="54"/>
        <v>0</v>
      </c>
      <c r="BC112" s="37">
        <f>H112/(100-BD112)*100</f>
        <v>0</v>
      </c>
      <c r="BD112" s="37">
        <v>0</v>
      </c>
      <c r="BE112" s="37">
        <f>112</f>
        <v>112</v>
      </c>
      <c r="BG112" s="21">
        <f>G112*AN112</f>
        <v>0</v>
      </c>
      <c r="BH112" s="21">
        <f>G112*AO112</f>
        <v>0</v>
      </c>
      <c r="BI112" s="21">
        <f>G112*H112</f>
        <v>0</v>
      </c>
      <c r="BJ112" s="21" t="s">
        <v>1127</v>
      </c>
      <c r="BK112" s="37">
        <v>722</v>
      </c>
    </row>
    <row r="113" spans="1:63" x14ac:dyDescent="0.25">
      <c r="A113" s="6"/>
      <c r="B113" s="15" t="s">
        <v>369</v>
      </c>
      <c r="C113" s="121" t="s">
        <v>722</v>
      </c>
      <c r="D113" s="122"/>
      <c r="E113" s="122"/>
      <c r="F113" s="19" t="s">
        <v>6</v>
      </c>
      <c r="G113" s="19" t="s">
        <v>6</v>
      </c>
      <c r="H113" s="19" t="s">
        <v>6</v>
      </c>
      <c r="I113" s="43">
        <f>SUM(I114:I127)</f>
        <v>0</v>
      </c>
      <c r="J113" s="43">
        <f>SUM(J114:J127)</f>
        <v>0</v>
      </c>
      <c r="K113" s="43">
        <f>SUM(K114:K127)</f>
        <v>0</v>
      </c>
      <c r="L113" s="5"/>
      <c r="AH113" s="36"/>
      <c r="AR113" s="43">
        <f>SUM(AI114:AI127)</f>
        <v>0</v>
      </c>
      <c r="AS113" s="43">
        <f>SUM(AJ114:AJ127)</f>
        <v>0</v>
      </c>
      <c r="AT113" s="43">
        <f>SUM(AK114:AK127)</f>
        <v>0</v>
      </c>
    </row>
    <row r="114" spans="1:63" x14ac:dyDescent="0.25">
      <c r="A114" s="4" t="s">
        <v>70</v>
      </c>
      <c r="B114" s="14" t="s">
        <v>370</v>
      </c>
      <c r="C114" s="117" t="s">
        <v>723</v>
      </c>
      <c r="D114" s="118"/>
      <c r="E114" s="118"/>
      <c r="F114" s="14" t="s">
        <v>1026</v>
      </c>
      <c r="G114" s="21">
        <v>1</v>
      </c>
      <c r="H114" s="21">
        <v>0</v>
      </c>
      <c r="I114" s="21">
        <f>G114*AN114</f>
        <v>0</v>
      </c>
      <c r="J114" s="21">
        <f>G114*AO114</f>
        <v>0</v>
      </c>
      <c r="K114" s="21">
        <f t="shared" ref="K114:K127" si="55">G114*H114</f>
        <v>0</v>
      </c>
      <c r="L114" s="5"/>
      <c r="Y114" s="37">
        <f t="shared" ref="Y114:Y127" si="56">IF(AP114="5",BI114,0)</f>
        <v>0</v>
      </c>
      <c r="AA114" s="37">
        <f t="shared" ref="AA114:AA127" si="57">IF(AP114="1",BG114,0)</f>
        <v>0</v>
      </c>
      <c r="AB114" s="37">
        <f t="shared" ref="AB114:AB127" si="58">IF(AP114="1",BH114,0)</f>
        <v>0</v>
      </c>
      <c r="AC114" s="37">
        <f t="shared" ref="AC114:AC127" si="59">IF(AP114="7",BG114,0)</f>
        <v>0</v>
      </c>
      <c r="AD114" s="37">
        <f t="shared" ref="AD114:AD127" si="60">IF(AP114="7",BH114,0)</f>
        <v>0</v>
      </c>
      <c r="AE114" s="37">
        <f t="shared" ref="AE114:AE127" si="61">IF(AP114="2",BG114,0)</f>
        <v>0</v>
      </c>
      <c r="AF114" s="37">
        <f t="shared" ref="AF114:AF127" si="62">IF(AP114="2",BH114,0)</f>
        <v>0</v>
      </c>
      <c r="AG114" s="37">
        <f t="shared" ref="AG114:AG127" si="63">IF(AP114="0",BI114,0)</f>
        <v>0</v>
      </c>
      <c r="AH114" s="36"/>
      <c r="AI114" s="21">
        <f>IF(AM114=0,K114,0)</f>
        <v>0</v>
      </c>
      <c r="AJ114" s="21">
        <f>IF(AM114=15,K114,0)</f>
        <v>0</v>
      </c>
      <c r="AK114" s="21">
        <f>IF(AM114=21,K114,0)</f>
        <v>0</v>
      </c>
      <c r="AM114" s="37">
        <v>21</v>
      </c>
      <c r="AN114" s="37">
        <f>H114*0.543724489795918</f>
        <v>0</v>
      </c>
      <c r="AO114" s="37">
        <f>H114*(1-0.543724489795918)</f>
        <v>0</v>
      </c>
      <c r="AP114" s="38" t="s">
        <v>13</v>
      </c>
      <c r="AU114" s="37">
        <f t="shared" ref="AU114:AU127" si="64">AV114+AW114</f>
        <v>0</v>
      </c>
      <c r="AV114" s="37">
        <f>G114*AN114</f>
        <v>0</v>
      </c>
      <c r="AW114" s="37">
        <f>G114*AO114</f>
        <v>0</v>
      </c>
      <c r="AX114" s="40" t="s">
        <v>1071</v>
      </c>
      <c r="AY114" s="40" t="s">
        <v>1115</v>
      </c>
      <c r="AZ114" s="36" t="s">
        <v>1122</v>
      </c>
      <c r="BB114" s="37">
        <f t="shared" ref="BB114:BB127" si="65">AV114+AW114</f>
        <v>0</v>
      </c>
      <c r="BC114" s="37">
        <f>H114/(100-BD114)*100</f>
        <v>0</v>
      </c>
      <c r="BD114" s="37">
        <v>0</v>
      </c>
      <c r="BE114" s="37">
        <f>114</f>
        <v>114</v>
      </c>
      <c r="BG114" s="21">
        <f>G114*AN114</f>
        <v>0</v>
      </c>
      <c r="BH114" s="21">
        <f>G114*AO114</f>
        <v>0</v>
      </c>
      <c r="BI114" s="21">
        <f>G114*H114</f>
        <v>0</v>
      </c>
      <c r="BJ114" s="21" t="s">
        <v>1127</v>
      </c>
      <c r="BK114" s="37">
        <v>723</v>
      </c>
    </row>
    <row r="115" spans="1:63" x14ac:dyDescent="0.25">
      <c r="A115" s="4" t="s">
        <v>71</v>
      </c>
      <c r="B115" s="14" t="s">
        <v>371</v>
      </c>
      <c r="C115" s="117" t="s">
        <v>724</v>
      </c>
      <c r="D115" s="118"/>
      <c r="E115" s="118"/>
      <c r="F115" s="14" t="s">
        <v>1026</v>
      </c>
      <c r="G115" s="21">
        <v>10</v>
      </c>
      <c r="H115" s="21">
        <v>0</v>
      </c>
      <c r="I115" s="21">
        <f>G115*AN115</f>
        <v>0</v>
      </c>
      <c r="J115" s="21">
        <f>G115*AO115</f>
        <v>0</v>
      </c>
      <c r="K115" s="21">
        <f t="shared" si="55"/>
        <v>0</v>
      </c>
      <c r="L115" s="5"/>
      <c r="Y115" s="37">
        <f t="shared" si="56"/>
        <v>0</v>
      </c>
      <c r="AA115" s="37">
        <f t="shared" si="57"/>
        <v>0</v>
      </c>
      <c r="AB115" s="37">
        <f t="shared" si="58"/>
        <v>0</v>
      </c>
      <c r="AC115" s="37">
        <f t="shared" si="59"/>
        <v>0</v>
      </c>
      <c r="AD115" s="37">
        <f t="shared" si="60"/>
        <v>0</v>
      </c>
      <c r="AE115" s="37">
        <f t="shared" si="61"/>
        <v>0</v>
      </c>
      <c r="AF115" s="37">
        <f t="shared" si="62"/>
        <v>0</v>
      </c>
      <c r="AG115" s="37">
        <f t="shared" si="63"/>
        <v>0</v>
      </c>
      <c r="AH115" s="36"/>
      <c r="AI115" s="21">
        <f>IF(AM115=0,K115,0)</f>
        <v>0</v>
      </c>
      <c r="AJ115" s="21">
        <f>IF(AM115=15,K115,0)</f>
        <v>0</v>
      </c>
      <c r="AK115" s="21">
        <f>IF(AM115=21,K115,0)</f>
        <v>0</v>
      </c>
      <c r="AM115" s="37">
        <v>21</v>
      </c>
      <c r="AN115" s="37">
        <f>H115*0.389</f>
        <v>0</v>
      </c>
      <c r="AO115" s="37">
        <f>H115*(1-0.389)</f>
        <v>0</v>
      </c>
      <c r="AP115" s="38" t="s">
        <v>13</v>
      </c>
      <c r="AU115" s="37">
        <f t="shared" si="64"/>
        <v>0</v>
      </c>
      <c r="AV115" s="37">
        <f>G115*AN115</f>
        <v>0</v>
      </c>
      <c r="AW115" s="37">
        <f>G115*AO115</f>
        <v>0</v>
      </c>
      <c r="AX115" s="40" t="s">
        <v>1071</v>
      </c>
      <c r="AY115" s="40" t="s">
        <v>1115</v>
      </c>
      <c r="AZ115" s="36" t="s">
        <v>1122</v>
      </c>
      <c r="BB115" s="37">
        <f t="shared" si="65"/>
        <v>0</v>
      </c>
      <c r="BC115" s="37">
        <f>H115/(100-BD115)*100</f>
        <v>0</v>
      </c>
      <c r="BD115" s="37">
        <v>0</v>
      </c>
      <c r="BE115" s="37">
        <f>115</f>
        <v>115</v>
      </c>
      <c r="BG115" s="21">
        <f>G115*AN115</f>
        <v>0</v>
      </c>
      <c r="BH115" s="21">
        <f>G115*AO115</f>
        <v>0</v>
      </c>
      <c r="BI115" s="21">
        <f>G115*H115</f>
        <v>0</v>
      </c>
      <c r="BJ115" s="21" t="s">
        <v>1127</v>
      </c>
      <c r="BK115" s="37">
        <v>723</v>
      </c>
    </row>
    <row r="116" spans="1:63" x14ac:dyDescent="0.25">
      <c r="A116" s="4" t="s">
        <v>72</v>
      </c>
      <c r="B116" s="14" t="s">
        <v>372</v>
      </c>
      <c r="C116" s="117" t="s">
        <v>725</v>
      </c>
      <c r="D116" s="118"/>
      <c r="E116" s="118"/>
      <c r="F116" s="14" t="s">
        <v>1026</v>
      </c>
      <c r="G116" s="21">
        <v>6</v>
      </c>
      <c r="H116" s="21">
        <v>0</v>
      </c>
      <c r="I116" s="21">
        <f>G116*AN116</f>
        <v>0</v>
      </c>
      <c r="J116" s="21">
        <f>G116*AO116</f>
        <v>0</v>
      </c>
      <c r="K116" s="21">
        <f t="shared" si="55"/>
        <v>0</v>
      </c>
      <c r="L116" s="5"/>
      <c r="Y116" s="37">
        <f t="shared" si="56"/>
        <v>0</v>
      </c>
      <c r="AA116" s="37">
        <f t="shared" si="57"/>
        <v>0</v>
      </c>
      <c r="AB116" s="37">
        <f t="shared" si="58"/>
        <v>0</v>
      </c>
      <c r="AC116" s="37">
        <f t="shared" si="59"/>
        <v>0</v>
      </c>
      <c r="AD116" s="37">
        <f t="shared" si="60"/>
        <v>0</v>
      </c>
      <c r="AE116" s="37">
        <f t="shared" si="61"/>
        <v>0</v>
      </c>
      <c r="AF116" s="37">
        <f t="shared" si="62"/>
        <v>0</v>
      </c>
      <c r="AG116" s="37">
        <f t="shared" si="63"/>
        <v>0</v>
      </c>
      <c r="AH116" s="36"/>
      <c r="AI116" s="21">
        <f>IF(AM116=0,K116,0)</f>
        <v>0</v>
      </c>
      <c r="AJ116" s="21">
        <f>IF(AM116=15,K116,0)</f>
        <v>0</v>
      </c>
      <c r="AK116" s="21">
        <f>IF(AM116=21,K116,0)</f>
        <v>0</v>
      </c>
      <c r="AM116" s="37">
        <v>21</v>
      </c>
      <c r="AN116" s="37">
        <f>H116*0.32589644012945</f>
        <v>0</v>
      </c>
      <c r="AO116" s="37">
        <f>H116*(1-0.32589644012945)</f>
        <v>0</v>
      </c>
      <c r="AP116" s="38" t="s">
        <v>13</v>
      </c>
      <c r="AU116" s="37">
        <f t="shared" si="64"/>
        <v>0</v>
      </c>
      <c r="AV116" s="37">
        <f>G116*AN116</f>
        <v>0</v>
      </c>
      <c r="AW116" s="37">
        <f>G116*AO116</f>
        <v>0</v>
      </c>
      <c r="AX116" s="40" t="s">
        <v>1071</v>
      </c>
      <c r="AY116" s="40" t="s">
        <v>1115</v>
      </c>
      <c r="AZ116" s="36" t="s">
        <v>1122</v>
      </c>
      <c r="BB116" s="37">
        <f t="shared" si="65"/>
        <v>0</v>
      </c>
      <c r="BC116" s="37">
        <f>H116/(100-BD116)*100</f>
        <v>0</v>
      </c>
      <c r="BD116" s="37">
        <v>0</v>
      </c>
      <c r="BE116" s="37">
        <f>116</f>
        <v>116</v>
      </c>
      <c r="BG116" s="21">
        <f>G116*AN116</f>
        <v>0</v>
      </c>
      <c r="BH116" s="21">
        <f>G116*AO116</f>
        <v>0</v>
      </c>
      <c r="BI116" s="21">
        <f>G116*H116</f>
        <v>0</v>
      </c>
      <c r="BJ116" s="21" t="s">
        <v>1127</v>
      </c>
      <c r="BK116" s="37">
        <v>723</v>
      </c>
    </row>
    <row r="117" spans="1:63" x14ac:dyDescent="0.25">
      <c r="A117" s="4" t="s">
        <v>73</v>
      </c>
      <c r="B117" s="14" t="s">
        <v>373</v>
      </c>
      <c r="C117" s="117" t="s">
        <v>726</v>
      </c>
      <c r="D117" s="118"/>
      <c r="E117" s="118"/>
      <c r="F117" s="14" t="s">
        <v>1026</v>
      </c>
      <c r="G117" s="21">
        <v>1</v>
      </c>
      <c r="H117" s="21">
        <v>0</v>
      </c>
      <c r="I117" s="21">
        <f>G117*AN117</f>
        <v>0</v>
      </c>
      <c r="J117" s="21">
        <f>G117*AO117</f>
        <v>0</v>
      </c>
      <c r="K117" s="21">
        <f t="shared" si="55"/>
        <v>0</v>
      </c>
      <c r="L117" s="5"/>
      <c r="Y117" s="37">
        <f t="shared" si="56"/>
        <v>0</v>
      </c>
      <c r="AA117" s="37">
        <f t="shared" si="57"/>
        <v>0</v>
      </c>
      <c r="AB117" s="37">
        <f t="shared" si="58"/>
        <v>0</v>
      </c>
      <c r="AC117" s="37">
        <f t="shared" si="59"/>
        <v>0</v>
      </c>
      <c r="AD117" s="37">
        <f t="shared" si="60"/>
        <v>0</v>
      </c>
      <c r="AE117" s="37">
        <f t="shared" si="61"/>
        <v>0</v>
      </c>
      <c r="AF117" s="37">
        <f t="shared" si="62"/>
        <v>0</v>
      </c>
      <c r="AG117" s="37">
        <f t="shared" si="63"/>
        <v>0</v>
      </c>
      <c r="AH117" s="36"/>
      <c r="AI117" s="21">
        <f>IF(AM117=0,K117,0)</f>
        <v>0</v>
      </c>
      <c r="AJ117" s="21">
        <f>IF(AM117=15,K117,0)</f>
        <v>0</v>
      </c>
      <c r="AK117" s="21">
        <f>IF(AM117=21,K117,0)</f>
        <v>0</v>
      </c>
      <c r="AM117" s="37">
        <v>21</v>
      </c>
      <c r="AN117" s="37">
        <f>H117*0.35925671641791</f>
        <v>0</v>
      </c>
      <c r="AO117" s="37">
        <f>H117*(1-0.35925671641791)</f>
        <v>0</v>
      </c>
      <c r="AP117" s="38" t="s">
        <v>13</v>
      </c>
      <c r="AU117" s="37">
        <f t="shared" si="64"/>
        <v>0</v>
      </c>
      <c r="AV117" s="37">
        <f>G117*AN117</f>
        <v>0</v>
      </c>
      <c r="AW117" s="37">
        <f>G117*AO117</f>
        <v>0</v>
      </c>
      <c r="AX117" s="40" t="s">
        <v>1071</v>
      </c>
      <c r="AY117" s="40" t="s">
        <v>1115</v>
      </c>
      <c r="AZ117" s="36" t="s">
        <v>1122</v>
      </c>
      <c r="BB117" s="37">
        <f t="shared" si="65"/>
        <v>0</v>
      </c>
      <c r="BC117" s="37">
        <f>H117/(100-BD117)*100</f>
        <v>0</v>
      </c>
      <c r="BD117" s="37">
        <v>0</v>
      </c>
      <c r="BE117" s="37">
        <f>117</f>
        <v>117</v>
      </c>
      <c r="BG117" s="21">
        <f>G117*AN117</f>
        <v>0</v>
      </c>
      <c r="BH117" s="21">
        <f>G117*AO117</f>
        <v>0</v>
      </c>
      <c r="BI117" s="21">
        <f>G117*H117</f>
        <v>0</v>
      </c>
      <c r="BJ117" s="21" t="s">
        <v>1127</v>
      </c>
      <c r="BK117" s="37">
        <v>723</v>
      </c>
    </row>
    <row r="118" spans="1:63" x14ac:dyDescent="0.25">
      <c r="A118" s="4" t="s">
        <v>74</v>
      </c>
      <c r="B118" s="14" t="s">
        <v>374</v>
      </c>
      <c r="C118" s="117" t="s">
        <v>727</v>
      </c>
      <c r="D118" s="118"/>
      <c r="E118" s="118"/>
      <c r="F118" s="14" t="s">
        <v>1024</v>
      </c>
      <c r="G118" s="21">
        <v>2</v>
      </c>
      <c r="H118" s="21">
        <v>0</v>
      </c>
      <c r="I118" s="21">
        <f>G118*AN118</f>
        <v>0</v>
      </c>
      <c r="J118" s="21">
        <f>G118*AO118</f>
        <v>0</v>
      </c>
      <c r="K118" s="21">
        <f t="shared" si="55"/>
        <v>0</v>
      </c>
      <c r="L118" s="5"/>
      <c r="Y118" s="37">
        <f t="shared" si="56"/>
        <v>0</v>
      </c>
      <c r="AA118" s="37">
        <f t="shared" si="57"/>
        <v>0</v>
      </c>
      <c r="AB118" s="37">
        <f t="shared" si="58"/>
        <v>0</v>
      </c>
      <c r="AC118" s="37">
        <f t="shared" si="59"/>
        <v>0</v>
      </c>
      <c r="AD118" s="37">
        <f t="shared" si="60"/>
        <v>0</v>
      </c>
      <c r="AE118" s="37">
        <f t="shared" si="61"/>
        <v>0</v>
      </c>
      <c r="AF118" s="37">
        <f t="shared" si="62"/>
        <v>0</v>
      </c>
      <c r="AG118" s="37">
        <f t="shared" si="63"/>
        <v>0</v>
      </c>
      <c r="AH118" s="36"/>
      <c r="AI118" s="21">
        <f>IF(AM118=0,K118,0)</f>
        <v>0</v>
      </c>
      <c r="AJ118" s="21">
        <f>IF(AM118=15,K118,0)</f>
        <v>0</v>
      </c>
      <c r="AK118" s="21">
        <f>IF(AM118=21,K118,0)</f>
        <v>0</v>
      </c>
      <c r="AM118" s="37">
        <v>21</v>
      </c>
      <c r="AN118" s="37">
        <f>H118*0.785430107526882</f>
        <v>0</v>
      </c>
      <c r="AO118" s="37">
        <f>H118*(1-0.785430107526882)</f>
        <v>0</v>
      </c>
      <c r="AP118" s="38" t="s">
        <v>13</v>
      </c>
      <c r="AU118" s="37">
        <f t="shared" si="64"/>
        <v>0</v>
      </c>
      <c r="AV118" s="37">
        <f>G118*AN118</f>
        <v>0</v>
      </c>
      <c r="AW118" s="37">
        <f>G118*AO118</f>
        <v>0</v>
      </c>
      <c r="AX118" s="40" t="s">
        <v>1071</v>
      </c>
      <c r="AY118" s="40" t="s">
        <v>1115</v>
      </c>
      <c r="AZ118" s="36" t="s">
        <v>1122</v>
      </c>
      <c r="BB118" s="37">
        <f t="shared" si="65"/>
        <v>0</v>
      </c>
      <c r="BC118" s="37">
        <f>H118/(100-BD118)*100</f>
        <v>0</v>
      </c>
      <c r="BD118" s="37">
        <v>0</v>
      </c>
      <c r="BE118" s="37">
        <f>118</f>
        <v>118</v>
      </c>
      <c r="BG118" s="21">
        <f>G118*AN118</f>
        <v>0</v>
      </c>
      <c r="BH118" s="21">
        <f>G118*AO118</f>
        <v>0</v>
      </c>
      <c r="BI118" s="21">
        <f>G118*H118</f>
        <v>0</v>
      </c>
      <c r="BJ118" s="21" t="s">
        <v>1127</v>
      </c>
      <c r="BK118" s="37">
        <v>723</v>
      </c>
    </row>
    <row r="119" spans="1:63" x14ac:dyDescent="0.25">
      <c r="A119" s="4" t="s">
        <v>75</v>
      </c>
      <c r="B119" s="14" t="s">
        <v>375</v>
      </c>
      <c r="C119" s="117" t="s">
        <v>728</v>
      </c>
      <c r="D119" s="118"/>
      <c r="E119" s="118"/>
      <c r="F119" s="14" t="s">
        <v>1024</v>
      </c>
      <c r="G119" s="21">
        <v>1</v>
      </c>
      <c r="H119" s="21">
        <v>0</v>
      </c>
      <c r="I119" s="21">
        <f>G119*AN119</f>
        <v>0</v>
      </c>
      <c r="J119" s="21">
        <f>G119*AO119</f>
        <v>0</v>
      </c>
      <c r="K119" s="21">
        <f t="shared" si="55"/>
        <v>0</v>
      </c>
      <c r="L119" s="5"/>
      <c r="Y119" s="37">
        <f t="shared" si="56"/>
        <v>0</v>
      </c>
      <c r="AA119" s="37">
        <f t="shared" si="57"/>
        <v>0</v>
      </c>
      <c r="AB119" s="37">
        <f t="shared" si="58"/>
        <v>0</v>
      </c>
      <c r="AC119" s="37">
        <f t="shared" si="59"/>
        <v>0</v>
      </c>
      <c r="AD119" s="37">
        <f t="shared" si="60"/>
        <v>0</v>
      </c>
      <c r="AE119" s="37">
        <f t="shared" si="61"/>
        <v>0</v>
      </c>
      <c r="AF119" s="37">
        <f t="shared" si="62"/>
        <v>0</v>
      </c>
      <c r="AG119" s="37">
        <f t="shared" si="63"/>
        <v>0</v>
      </c>
      <c r="AH119" s="36"/>
      <c r="AI119" s="21">
        <f>IF(AM119=0,K119,0)</f>
        <v>0</v>
      </c>
      <c r="AJ119" s="21">
        <f>IF(AM119=15,K119,0)</f>
        <v>0</v>
      </c>
      <c r="AK119" s="21">
        <f>IF(AM119=21,K119,0)</f>
        <v>0</v>
      </c>
      <c r="AM119" s="37">
        <v>21</v>
      </c>
      <c r="AN119" s="37">
        <f>H119*0.836378132118451</f>
        <v>0</v>
      </c>
      <c r="AO119" s="37">
        <f>H119*(1-0.836378132118451)</f>
        <v>0</v>
      </c>
      <c r="AP119" s="38" t="s">
        <v>13</v>
      </c>
      <c r="AU119" s="37">
        <f t="shared" si="64"/>
        <v>0</v>
      </c>
      <c r="AV119" s="37">
        <f>G119*AN119</f>
        <v>0</v>
      </c>
      <c r="AW119" s="37">
        <f>G119*AO119</f>
        <v>0</v>
      </c>
      <c r="AX119" s="40" t="s">
        <v>1071</v>
      </c>
      <c r="AY119" s="40" t="s">
        <v>1115</v>
      </c>
      <c r="AZ119" s="36" t="s">
        <v>1122</v>
      </c>
      <c r="BB119" s="37">
        <f t="shared" si="65"/>
        <v>0</v>
      </c>
      <c r="BC119" s="37">
        <f>H119/(100-BD119)*100</f>
        <v>0</v>
      </c>
      <c r="BD119" s="37">
        <v>0</v>
      </c>
      <c r="BE119" s="37">
        <f>119</f>
        <v>119</v>
      </c>
      <c r="BG119" s="21">
        <f>G119*AN119</f>
        <v>0</v>
      </c>
      <c r="BH119" s="21">
        <f>G119*AO119</f>
        <v>0</v>
      </c>
      <c r="BI119" s="21">
        <f>G119*H119</f>
        <v>0</v>
      </c>
      <c r="BJ119" s="21" t="s">
        <v>1127</v>
      </c>
      <c r="BK119" s="37">
        <v>723</v>
      </c>
    </row>
    <row r="120" spans="1:63" x14ac:dyDescent="0.25">
      <c r="A120" s="4" t="s">
        <v>76</v>
      </c>
      <c r="B120" s="14" t="s">
        <v>376</v>
      </c>
      <c r="C120" s="117" t="s">
        <v>729</v>
      </c>
      <c r="D120" s="118"/>
      <c r="E120" s="118"/>
      <c r="F120" s="14" t="s">
        <v>1024</v>
      </c>
      <c r="G120" s="21">
        <v>3</v>
      </c>
      <c r="H120" s="21">
        <v>0</v>
      </c>
      <c r="I120" s="21">
        <f>G120*AN120</f>
        <v>0</v>
      </c>
      <c r="J120" s="21">
        <f>G120*AO120</f>
        <v>0</v>
      </c>
      <c r="K120" s="21">
        <f t="shared" si="55"/>
        <v>0</v>
      </c>
      <c r="L120" s="5"/>
      <c r="Y120" s="37">
        <f t="shared" si="56"/>
        <v>0</v>
      </c>
      <c r="AA120" s="37">
        <f t="shared" si="57"/>
        <v>0</v>
      </c>
      <c r="AB120" s="37">
        <f t="shared" si="58"/>
        <v>0</v>
      </c>
      <c r="AC120" s="37">
        <f t="shared" si="59"/>
        <v>0</v>
      </c>
      <c r="AD120" s="37">
        <f t="shared" si="60"/>
        <v>0</v>
      </c>
      <c r="AE120" s="37">
        <f t="shared" si="61"/>
        <v>0</v>
      </c>
      <c r="AF120" s="37">
        <f t="shared" si="62"/>
        <v>0</v>
      </c>
      <c r="AG120" s="37">
        <f t="shared" si="63"/>
        <v>0</v>
      </c>
      <c r="AH120" s="36"/>
      <c r="AI120" s="21">
        <f>IF(AM120=0,K120,0)</f>
        <v>0</v>
      </c>
      <c r="AJ120" s="21">
        <f>IF(AM120=15,K120,0)</f>
        <v>0</v>
      </c>
      <c r="AK120" s="21">
        <f>IF(AM120=21,K120,0)</f>
        <v>0</v>
      </c>
      <c r="AM120" s="37">
        <v>21</v>
      </c>
      <c r="AN120" s="37">
        <f>H120*0.781868715083799</f>
        <v>0</v>
      </c>
      <c r="AO120" s="37">
        <f>H120*(1-0.781868715083799)</f>
        <v>0</v>
      </c>
      <c r="AP120" s="38" t="s">
        <v>13</v>
      </c>
      <c r="AU120" s="37">
        <f t="shared" si="64"/>
        <v>0</v>
      </c>
      <c r="AV120" s="37">
        <f>G120*AN120</f>
        <v>0</v>
      </c>
      <c r="AW120" s="37">
        <f>G120*AO120</f>
        <v>0</v>
      </c>
      <c r="AX120" s="40" t="s">
        <v>1071</v>
      </c>
      <c r="AY120" s="40" t="s">
        <v>1115</v>
      </c>
      <c r="AZ120" s="36" t="s">
        <v>1122</v>
      </c>
      <c r="BB120" s="37">
        <f t="shared" si="65"/>
        <v>0</v>
      </c>
      <c r="BC120" s="37">
        <f>H120/(100-BD120)*100</f>
        <v>0</v>
      </c>
      <c r="BD120" s="37">
        <v>0</v>
      </c>
      <c r="BE120" s="37">
        <f>120</f>
        <v>120</v>
      </c>
      <c r="BG120" s="21">
        <f>G120*AN120</f>
        <v>0</v>
      </c>
      <c r="BH120" s="21">
        <f>G120*AO120</f>
        <v>0</v>
      </c>
      <c r="BI120" s="21">
        <f>G120*H120</f>
        <v>0</v>
      </c>
      <c r="BJ120" s="21" t="s">
        <v>1127</v>
      </c>
      <c r="BK120" s="37">
        <v>723</v>
      </c>
    </row>
    <row r="121" spans="1:63" x14ac:dyDescent="0.25">
      <c r="A121" s="4" t="s">
        <v>77</v>
      </c>
      <c r="B121" s="14" t="s">
        <v>377</v>
      </c>
      <c r="C121" s="117" t="s">
        <v>730</v>
      </c>
      <c r="D121" s="118"/>
      <c r="E121" s="118"/>
      <c r="F121" s="14" t="s">
        <v>1024</v>
      </c>
      <c r="G121" s="21">
        <v>1</v>
      </c>
      <c r="H121" s="21">
        <v>0</v>
      </c>
      <c r="I121" s="21">
        <f>G121*AN121</f>
        <v>0</v>
      </c>
      <c r="J121" s="21">
        <f>G121*AO121</f>
        <v>0</v>
      </c>
      <c r="K121" s="21">
        <f t="shared" si="55"/>
        <v>0</v>
      </c>
      <c r="L121" s="5"/>
      <c r="Y121" s="37">
        <f t="shared" si="56"/>
        <v>0</v>
      </c>
      <c r="AA121" s="37">
        <f t="shared" si="57"/>
        <v>0</v>
      </c>
      <c r="AB121" s="37">
        <f t="shared" si="58"/>
        <v>0</v>
      </c>
      <c r="AC121" s="37">
        <f t="shared" si="59"/>
        <v>0</v>
      </c>
      <c r="AD121" s="37">
        <f t="shared" si="60"/>
        <v>0</v>
      </c>
      <c r="AE121" s="37">
        <f t="shared" si="61"/>
        <v>0</v>
      </c>
      <c r="AF121" s="37">
        <f t="shared" si="62"/>
        <v>0</v>
      </c>
      <c r="AG121" s="37">
        <f t="shared" si="63"/>
        <v>0</v>
      </c>
      <c r="AH121" s="36"/>
      <c r="AI121" s="21">
        <f>IF(AM121=0,K121,0)</f>
        <v>0</v>
      </c>
      <c r="AJ121" s="21">
        <f>IF(AM121=15,K121,0)</f>
        <v>0</v>
      </c>
      <c r="AK121" s="21">
        <f>IF(AM121=21,K121,0)</f>
        <v>0</v>
      </c>
      <c r="AM121" s="37">
        <v>21</v>
      </c>
      <c r="AN121" s="37">
        <f>H121*0.366466666666667</f>
        <v>0</v>
      </c>
      <c r="AO121" s="37">
        <f>H121*(1-0.366466666666667)</f>
        <v>0</v>
      </c>
      <c r="AP121" s="38" t="s">
        <v>13</v>
      </c>
      <c r="AU121" s="37">
        <f t="shared" si="64"/>
        <v>0</v>
      </c>
      <c r="AV121" s="37">
        <f>G121*AN121</f>
        <v>0</v>
      </c>
      <c r="AW121" s="37">
        <f>G121*AO121</f>
        <v>0</v>
      </c>
      <c r="AX121" s="40" t="s">
        <v>1071</v>
      </c>
      <c r="AY121" s="40" t="s">
        <v>1115</v>
      </c>
      <c r="AZ121" s="36" t="s">
        <v>1122</v>
      </c>
      <c r="BB121" s="37">
        <f t="shared" si="65"/>
        <v>0</v>
      </c>
      <c r="BC121" s="37">
        <f>H121/(100-BD121)*100</f>
        <v>0</v>
      </c>
      <c r="BD121" s="37">
        <v>0</v>
      </c>
      <c r="BE121" s="37">
        <f>121</f>
        <v>121</v>
      </c>
      <c r="BG121" s="21">
        <f>G121*AN121</f>
        <v>0</v>
      </c>
      <c r="BH121" s="21">
        <f>G121*AO121</f>
        <v>0</v>
      </c>
      <c r="BI121" s="21">
        <f>G121*H121</f>
        <v>0</v>
      </c>
      <c r="BJ121" s="21" t="s">
        <v>1127</v>
      </c>
      <c r="BK121" s="37">
        <v>723</v>
      </c>
    </row>
    <row r="122" spans="1:63" x14ac:dyDescent="0.25">
      <c r="A122" s="4" t="s">
        <v>78</v>
      </c>
      <c r="B122" s="14" t="s">
        <v>378</v>
      </c>
      <c r="C122" s="117" t="s">
        <v>731</v>
      </c>
      <c r="D122" s="118"/>
      <c r="E122" s="118"/>
      <c r="F122" s="14" t="s">
        <v>1026</v>
      </c>
      <c r="G122" s="21">
        <v>30</v>
      </c>
      <c r="H122" s="21">
        <v>0</v>
      </c>
      <c r="I122" s="21">
        <f>G122*AN122</f>
        <v>0</v>
      </c>
      <c r="J122" s="21">
        <f>G122*AO122</f>
        <v>0</v>
      </c>
      <c r="K122" s="21">
        <f t="shared" si="55"/>
        <v>0</v>
      </c>
      <c r="L122" s="5"/>
      <c r="Y122" s="37">
        <f t="shared" si="56"/>
        <v>0</v>
      </c>
      <c r="AA122" s="37">
        <f t="shared" si="57"/>
        <v>0</v>
      </c>
      <c r="AB122" s="37">
        <f t="shared" si="58"/>
        <v>0</v>
      </c>
      <c r="AC122" s="37">
        <f t="shared" si="59"/>
        <v>0</v>
      </c>
      <c r="AD122" s="37">
        <f t="shared" si="60"/>
        <v>0</v>
      </c>
      <c r="AE122" s="37">
        <f t="shared" si="61"/>
        <v>0</v>
      </c>
      <c r="AF122" s="37">
        <f t="shared" si="62"/>
        <v>0</v>
      </c>
      <c r="AG122" s="37">
        <f t="shared" si="63"/>
        <v>0</v>
      </c>
      <c r="AH122" s="36"/>
      <c r="AI122" s="21">
        <f>IF(AM122=0,K122,0)</f>
        <v>0</v>
      </c>
      <c r="AJ122" s="21">
        <f>IF(AM122=15,K122,0)</f>
        <v>0</v>
      </c>
      <c r="AK122" s="21">
        <f>IF(AM122=21,K122,0)</f>
        <v>0</v>
      </c>
      <c r="AM122" s="37">
        <v>21</v>
      </c>
      <c r="AN122" s="37">
        <f>H122*0</f>
        <v>0</v>
      </c>
      <c r="AO122" s="37">
        <f>H122*(1-0)</f>
        <v>0</v>
      </c>
      <c r="AP122" s="38" t="s">
        <v>13</v>
      </c>
      <c r="AU122" s="37">
        <f t="shared" si="64"/>
        <v>0</v>
      </c>
      <c r="AV122" s="37">
        <f>G122*AN122</f>
        <v>0</v>
      </c>
      <c r="AW122" s="37">
        <f>G122*AO122</f>
        <v>0</v>
      </c>
      <c r="AX122" s="40" t="s">
        <v>1071</v>
      </c>
      <c r="AY122" s="40" t="s">
        <v>1115</v>
      </c>
      <c r="AZ122" s="36" t="s">
        <v>1122</v>
      </c>
      <c r="BB122" s="37">
        <f t="shared" si="65"/>
        <v>0</v>
      </c>
      <c r="BC122" s="37">
        <f>H122/(100-BD122)*100</f>
        <v>0</v>
      </c>
      <c r="BD122" s="37">
        <v>0</v>
      </c>
      <c r="BE122" s="37">
        <f>122</f>
        <v>122</v>
      </c>
      <c r="BG122" s="21">
        <f>G122*AN122</f>
        <v>0</v>
      </c>
      <c r="BH122" s="21">
        <f>G122*AO122</f>
        <v>0</v>
      </c>
      <c r="BI122" s="21">
        <f>G122*H122</f>
        <v>0</v>
      </c>
      <c r="BJ122" s="21" t="s">
        <v>1127</v>
      </c>
      <c r="BK122" s="37">
        <v>723</v>
      </c>
    </row>
    <row r="123" spans="1:63" x14ac:dyDescent="0.25">
      <c r="A123" s="4" t="s">
        <v>79</v>
      </c>
      <c r="B123" s="14" t="s">
        <v>379</v>
      </c>
      <c r="C123" s="117" t="s">
        <v>732</v>
      </c>
      <c r="D123" s="118"/>
      <c r="E123" s="118"/>
      <c r="F123" s="14" t="s">
        <v>1024</v>
      </c>
      <c r="G123" s="21">
        <v>1</v>
      </c>
      <c r="H123" s="21">
        <v>0</v>
      </c>
      <c r="I123" s="21">
        <f>G123*AN123</f>
        <v>0</v>
      </c>
      <c r="J123" s="21">
        <f>G123*AO123</f>
        <v>0</v>
      </c>
      <c r="K123" s="21">
        <f t="shared" si="55"/>
        <v>0</v>
      </c>
      <c r="L123" s="5"/>
      <c r="Y123" s="37">
        <f t="shared" si="56"/>
        <v>0</v>
      </c>
      <c r="AA123" s="37">
        <f t="shared" si="57"/>
        <v>0</v>
      </c>
      <c r="AB123" s="37">
        <f t="shared" si="58"/>
        <v>0</v>
      </c>
      <c r="AC123" s="37">
        <f t="shared" si="59"/>
        <v>0</v>
      </c>
      <c r="AD123" s="37">
        <f t="shared" si="60"/>
        <v>0</v>
      </c>
      <c r="AE123" s="37">
        <f t="shared" si="61"/>
        <v>0</v>
      </c>
      <c r="AF123" s="37">
        <f t="shared" si="62"/>
        <v>0</v>
      </c>
      <c r="AG123" s="37">
        <f t="shared" si="63"/>
        <v>0</v>
      </c>
      <c r="AH123" s="36"/>
      <c r="AI123" s="21">
        <f>IF(AM123=0,K123,0)</f>
        <v>0</v>
      </c>
      <c r="AJ123" s="21">
        <f>IF(AM123=15,K123,0)</f>
        <v>0</v>
      </c>
      <c r="AK123" s="21">
        <f>IF(AM123=21,K123,0)</f>
        <v>0</v>
      </c>
      <c r="AM123" s="37">
        <v>21</v>
      </c>
      <c r="AN123" s="37">
        <f>H123*0</f>
        <v>0</v>
      </c>
      <c r="AO123" s="37">
        <f>H123*(1-0)</f>
        <v>0</v>
      </c>
      <c r="AP123" s="38" t="s">
        <v>13</v>
      </c>
      <c r="AU123" s="37">
        <f t="shared" si="64"/>
        <v>0</v>
      </c>
      <c r="AV123" s="37">
        <f>G123*AN123</f>
        <v>0</v>
      </c>
      <c r="AW123" s="37">
        <f>G123*AO123</f>
        <v>0</v>
      </c>
      <c r="AX123" s="40" t="s">
        <v>1071</v>
      </c>
      <c r="AY123" s="40" t="s">
        <v>1115</v>
      </c>
      <c r="AZ123" s="36" t="s">
        <v>1122</v>
      </c>
      <c r="BB123" s="37">
        <f t="shared" si="65"/>
        <v>0</v>
      </c>
      <c r="BC123" s="37">
        <f>H123/(100-BD123)*100</f>
        <v>0</v>
      </c>
      <c r="BD123" s="37">
        <v>0</v>
      </c>
      <c r="BE123" s="37">
        <f>123</f>
        <v>123</v>
      </c>
      <c r="BG123" s="21">
        <f>G123*AN123</f>
        <v>0</v>
      </c>
      <c r="BH123" s="21">
        <f>G123*AO123</f>
        <v>0</v>
      </c>
      <c r="BI123" s="21">
        <f>G123*H123</f>
        <v>0</v>
      </c>
      <c r="BJ123" s="21" t="s">
        <v>1127</v>
      </c>
      <c r="BK123" s="37">
        <v>723</v>
      </c>
    </row>
    <row r="124" spans="1:63" x14ac:dyDescent="0.25">
      <c r="A124" s="4" t="s">
        <v>80</v>
      </c>
      <c r="B124" s="14" t="s">
        <v>380</v>
      </c>
      <c r="C124" s="117" t="s">
        <v>733</v>
      </c>
      <c r="D124" s="118"/>
      <c r="E124" s="118"/>
      <c r="F124" s="14" t="s">
        <v>1024</v>
      </c>
      <c r="G124" s="21">
        <v>1</v>
      </c>
      <c r="H124" s="21">
        <v>0</v>
      </c>
      <c r="I124" s="21">
        <f>G124*AN124</f>
        <v>0</v>
      </c>
      <c r="J124" s="21">
        <f>G124*AO124</f>
        <v>0</v>
      </c>
      <c r="K124" s="21">
        <f t="shared" si="55"/>
        <v>0</v>
      </c>
      <c r="L124" s="5"/>
      <c r="Y124" s="37">
        <f t="shared" si="56"/>
        <v>0</v>
      </c>
      <c r="AA124" s="37">
        <f t="shared" si="57"/>
        <v>0</v>
      </c>
      <c r="AB124" s="37">
        <f t="shared" si="58"/>
        <v>0</v>
      </c>
      <c r="AC124" s="37">
        <f t="shared" si="59"/>
        <v>0</v>
      </c>
      <c r="AD124" s="37">
        <f t="shared" si="60"/>
        <v>0</v>
      </c>
      <c r="AE124" s="37">
        <f t="shared" si="61"/>
        <v>0</v>
      </c>
      <c r="AF124" s="37">
        <f t="shared" si="62"/>
        <v>0</v>
      </c>
      <c r="AG124" s="37">
        <f t="shared" si="63"/>
        <v>0</v>
      </c>
      <c r="AH124" s="36"/>
      <c r="AI124" s="21">
        <f>IF(AM124=0,K124,0)</f>
        <v>0</v>
      </c>
      <c r="AJ124" s="21">
        <f>IF(AM124=15,K124,0)</f>
        <v>0</v>
      </c>
      <c r="AK124" s="21">
        <f>IF(AM124=21,K124,0)</f>
        <v>0</v>
      </c>
      <c r="AM124" s="37">
        <v>21</v>
      </c>
      <c r="AN124" s="37">
        <f>H124*0.827096590909091</f>
        <v>0</v>
      </c>
      <c r="AO124" s="37">
        <f>H124*(1-0.827096590909091)</f>
        <v>0</v>
      </c>
      <c r="AP124" s="38" t="s">
        <v>13</v>
      </c>
      <c r="AU124" s="37">
        <f t="shared" si="64"/>
        <v>0</v>
      </c>
      <c r="AV124" s="37">
        <f>G124*AN124</f>
        <v>0</v>
      </c>
      <c r="AW124" s="37">
        <f>G124*AO124</f>
        <v>0</v>
      </c>
      <c r="AX124" s="40" t="s">
        <v>1071</v>
      </c>
      <c r="AY124" s="40" t="s">
        <v>1115</v>
      </c>
      <c r="AZ124" s="36" t="s">
        <v>1122</v>
      </c>
      <c r="BB124" s="37">
        <f t="shared" si="65"/>
        <v>0</v>
      </c>
      <c r="BC124" s="37">
        <f>H124/(100-BD124)*100</f>
        <v>0</v>
      </c>
      <c r="BD124" s="37">
        <v>0</v>
      </c>
      <c r="BE124" s="37">
        <f>124</f>
        <v>124</v>
      </c>
      <c r="BG124" s="21">
        <f>G124*AN124</f>
        <v>0</v>
      </c>
      <c r="BH124" s="21">
        <f>G124*AO124</f>
        <v>0</v>
      </c>
      <c r="BI124" s="21">
        <f>G124*H124</f>
        <v>0</v>
      </c>
      <c r="BJ124" s="21" t="s">
        <v>1127</v>
      </c>
      <c r="BK124" s="37">
        <v>723</v>
      </c>
    </row>
    <row r="125" spans="1:63" x14ac:dyDescent="0.25">
      <c r="A125" s="4" t="s">
        <v>81</v>
      </c>
      <c r="B125" s="14" t="s">
        <v>381</v>
      </c>
      <c r="C125" s="117" t="s">
        <v>734</v>
      </c>
      <c r="D125" s="118"/>
      <c r="E125" s="118"/>
      <c r="F125" s="14" t="s">
        <v>1024</v>
      </c>
      <c r="G125" s="21">
        <v>1</v>
      </c>
      <c r="H125" s="21">
        <v>0</v>
      </c>
      <c r="I125" s="21">
        <f>G125*AN125</f>
        <v>0</v>
      </c>
      <c r="J125" s="21">
        <f>G125*AO125</f>
        <v>0</v>
      </c>
      <c r="K125" s="21">
        <f t="shared" si="55"/>
        <v>0</v>
      </c>
      <c r="L125" s="5"/>
      <c r="Y125" s="37">
        <f t="shared" si="56"/>
        <v>0</v>
      </c>
      <c r="AA125" s="37">
        <f t="shared" si="57"/>
        <v>0</v>
      </c>
      <c r="AB125" s="37">
        <f t="shared" si="58"/>
        <v>0</v>
      </c>
      <c r="AC125" s="37">
        <f t="shared" si="59"/>
        <v>0</v>
      </c>
      <c r="AD125" s="37">
        <f t="shared" si="60"/>
        <v>0</v>
      </c>
      <c r="AE125" s="37">
        <f t="shared" si="61"/>
        <v>0</v>
      </c>
      <c r="AF125" s="37">
        <f t="shared" si="62"/>
        <v>0</v>
      </c>
      <c r="AG125" s="37">
        <f t="shared" si="63"/>
        <v>0</v>
      </c>
      <c r="AH125" s="36"/>
      <c r="AI125" s="21">
        <f>IF(AM125=0,K125,0)</f>
        <v>0</v>
      </c>
      <c r="AJ125" s="21">
        <f>IF(AM125=15,K125,0)</f>
        <v>0</v>
      </c>
      <c r="AK125" s="21">
        <f>IF(AM125=21,K125,0)</f>
        <v>0</v>
      </c>
      <c r="AM125" s="37">
        <v>21</v>
      </c>
      <c r="AN125" s="37">
        <f>H125*0.979745106964042</f>
        <v>0</v>
      </c>
      <c r="AO125" s="37">
        <f>H125*(1-0.979745106964042)</f>
        <v>0</v>
      </c>
      <c r="AP125" s="38" t="s">
        <v>13</v>
      </c>
      <c r="AU125" s="37">
        <f t="shared" si="64"/>
        <v>0</v>
      </c>
      <c r="AV125" s="37">
        <f>G125*AN125</f>
        <v>0</v>
      </c>
      <c r="AW125" s="37">
        <f>G125*AO125</f>
        <v>0</v>
      </c>
      <c r="AX125" s="40" t="s">
        <v>1071</v>
      </c>
      <c r="AY125" s="40" t="s">
        <v>1115</v>
      </c>
      <c r="AZ125" s="36" t="s">
        <v>1122</v>
      </c>
      <c r="BB125" s="37">
        <f t="shared" si="65"/>
        <v>0</v>
      </c>
      <c r="BC125" s="37">
        <f>H125/(100-BD125)*100</f>
        <v>0</v>
      </c>
      <c r="BD125" s="37">
        <v>0</v>
      </c>
      <c r="BE125" s="37">
        <f>125</f>
        <v>125</v>
      </c>
      <c r="BG125" s="21">
        <f>G125*AN125</f>
        <v>0</v>
      </c>
      <c r="BH125" s="21">
        <f>G125*AO125</f>
        <v>0</v>
      </c>
      <c r="BI125" s="21">
        <f>G125*H125</f>
        <v>0</v>
      </c>
      <c r="BJ125" s="21" t="s">
        <v>1127</v>
      </c>
      <c r="BK125" s="37">
        <v>723</v>
      </c>
    </row>
    <row r="126" spans="1:63" x14ac:dyDescent="0.25">
      <c r="A126" s="4" t="s">
        <v>82</v>
      </c>
      <c r="B126" s="14" t="s">
        <v>382</v>
      </c>
      <c r="C126" s="117" t="s">
        <v>735</v>
      </c>
      <c r="D126" s="118"/>
      <c r="E126" s="118"/>
      <c r="F126" s="14" t="s">
        <v>1024</v>
      </c>
      <c r="G126" s="21">
        <v>2</v>
      </c>
      <c r="H126" s="21">
        <v>0</v>
      </c>
      <c r="I126" s="21">
        <f>G126*AN126</f>
        <v>0</v>
      </c>
      <c r="J126" s="21">
        <f>G126*AO126</f>
        <v>0</v>
      </c>
      <c r="K126" s="21">
        <f t="shared" si="55"/>
        <v>0</v>
      </c>
      <c r="L126" s="5"/>
      <c r="Y126" s="37">
        <f t="shared" si="56"/>
        <v>0</v>
      </c>
      <c r="AA126" s="37">
        <f t="shared" si="57"/>
        <v>0</v>
      </c>
      <c r="AB126" s="37">
        <f t="shared" si="58"/>
        <v>0</v>
      </c>
      <c r="AC126" s="37">
        <f t="shared" si="59"/>
        <v>0</v>
      </c>
      <c r="AD126" s="37">
        <f t="shared" si="60"/>
        <v>0</v>
      </c>
      <c r="AE126" s="37">
        <f t="shared" si="61"/>
        <v>0</v>
      </c>
      <c r="AF126" s="37">
        <f t="shared" si="62"/>
        <v>0</v>
      </c>
      <c r="AG126" s="37">
        <f t="shared" si="63"/>
        <v>0</v>
      </c>
      <c r="AH126" s="36"/>
      <c r="AI126" s="21">
        <f>IF(AM126=0,K126,0)</f>
        <v>0</v>
      </c>
      <c r="AJ126" s="21">
        <f>IF(AM126=15,K126,0)</f>
        <v>0</v>
      </c>
      <c r="AK126" s="21">
        <f>IF(AM126=21,K126,0)</f>
        <v>0</v>
      </c>
      <c r="AM126" s="37">
        <v>21</v>
      </c>
      <c r="AN126" s="37">
        <f>H126*0.534839924670433</f>
        <v>0</v>
      </c>
      <c r="AO126" s="37">
        <f>H126*(1-0.534839924670433)</f>
        <v>0</v>
      </c>
      <c r="AP126" s="38" t="s">
        <v>13</v>
      </c>
      <c r="AU126" s="37">
        <f t="shared" si="64"/>
        <v>0</v>
      </c>
      <c r="AV126" s="37">
        <f>G126*AN126</f>
        <v>0</v>
      </c>
      <c r="AW126" s="37">
        <f>G126*AO126</f>
        <v>0</v>
      </c>
      <c r="AX126" s="40" t="s">
        <v>1071</v>
      </c>
      <c r="AY126" s="40" t="s">
        <v>1115</v>
      </c>
      <c r="AZ126" s="36" t="s">
        <v>1122</v>
      </c>
      <c r="BB126" s="37">
        <f t="shared" si="65"/>
        <v>0</v>
      </c>
      <c r="BC126" s="37">
        <f>H126/(100-BD126)*100</f>
        <v>0</v>
      </c>
      <c r="BD126" s="37">
        <v>0</v>
      </c>
      <c r="BE126" s="37">
        <f>126</f>
        <v>126</v>
      </c>
      <c r="BG126" s="21">
        <f>G126*AN126</f>
        <v>0</v>
      </c>
      <c r="BH126" s="21">
        <f>G126*AO126</f>
        <v>0</v>
      </c>
      <c r="BI126" s="21">
        <f>G126*H126</f>
        <v>0</v>
      </c>
      <c r="BJ126" s="21" t="s">
        <v>1127</v>
      </c>
      <c r="BK126" s="37">
        <v>723</v>
      </c>
    </row>
    <row r="127" spans="1:63" x14ac:dyDescent="0.25">
      <c r="A127" s="4" t="s">
        <v>83</v>
      </c>
      <c r="B127" s="14" t="s">
        <v>383</v>
      </c>
      <c r="C127" s="117" t="s">
        <v>736</v>
      </c>
      <c r="D127" s="118"/>
      <c r="E127" s="118"/>
      <c r="F127" s="14" t="s">
        <v>1024</v>
      </c>
      <c r="G127" s="21">
        <v>1</v>
      </c>
      <c r="H127" s="21">
        <v>0</v>
      </c>
      <c r="I127" s="21">
        <f>G127*AN127</f>
        <v>0</v>
      </c>
      <c r="J127" s="21">
        <f>G127*AO127</f>
        <v>0</v>
      </c>
      <c r="K127" s="21">
        <f t="shared" si="55"/>
        <v>0</v>
      </c>
      <c r="L127" s="5"/>
      <c r="Y127" s="37">
        <f t="shared" si="56"/>
        <v>0</v>
      </c>
      <c r="AA127" s="37">
        <f t="shared" si="57"/>
        <v>0</v>
      </c>
      <c r="AB127" s="37">
        <f t="shared" si="58"/>
        <v>0</v>
      </c>
      <c r="AC127" s="37">
        <f t="shared" si="59"/>
        <v>0</v>
      </c>
      <c r="AD127" s="37">
        <f t="shared" si="60"/>
        <v>0</v>
      </c>
      <c r="AE127" s="37">
        <f t="shared" si="61"/>
        <v>0</v>
      </c>
      <c r="AF127" s="37">
        <f t="shared" si="62"/>
        <v>0</v>
      </c>
      <c r="AG127" s="37">
        <f t="shared" si="63"/>
        <v>0</v>
      </c>
      <c r="AH127" s="36"/>
      <c r="AI127" s="21">
        <f>IF(AM127=0,K127,0)</f>
        <v>0</v>
      </c>
      <c r="AJ127" s="21">
        <f>IF(AM127=15,K127,0)</f>
        <v>0</v>
      </c>
      <c r="AK127" s="21">
        <f>IF(AM127=21,K127,0)</f>
        <v>0</v>
      </c>
      <c r="AM127" s="37">
        <v>21</v>
      </c>
      <c r="AN127" s="37">
        <f>H127*0.949327956989247</f>
        <v>0</v>
      </c>
      <c r="AO127" s="37">
        <f>H127*(1-0.949327956989247)</f>
        <v>0</v>
      </c>
      <c r="AP127" s="38" t="s">
        <v>13</v>
      </c>
      <c r="AU127" s="37">
        <f t="shared" si="64"/>
        <v>0</v>
      </c>
      <c r="AV127" s="37">
        <f>G127*AN127</f>
        <v>0</v>
      </c>
      <c r="AW127" s="37">
        <f>G127*AO127</f>
        <v>0</v>
      </c>
      <c r="AX127" s="40" t="s">
        <v>1071</v>
      </c>
      <c r="AY127" s="40" t="s">
        <v>1115</v>
      </c>
      <c r="AZ127" s="36" t="s">
        <v>1122</v>
      </c>
      <c r="BB127" s="37">
        <f t="shared" si="65"/>
        <v>0</v>
      </c>
      <c r="BC127" s="37">
        <f>H127/(100-BD127)*100</f>
        <v>0</v>
      </c>
      <c r="BD127" s="37">
        <v>0</v>
      </c>
      <c r="BE127" s="37">
        <f>127</f>
        <v>127</v>
      </c>
      <c r="BG127" s="21">
        <f>G127*AN127</f>
        <v>0</v>
      </c>
      <c r="BH127" s="21">
        <f>G127*AO127</f>
        <v>0</v>
      </c>
      <c r="BI127" s="21">
        <f>G127*H127</f>
        <v>0</v>
      </c>
      <c r="BJ127" s="21" t="s">
        <v>1127</v>
      </c>
      <c r="BK127" s="37">
        <v>723</v>
      </c>
    </row>
    <row r="128" spans="1:63" x14ac:dyDescent="0.25">
      <c r="A128" s="5"/>
      <c r="C128" s="119" t="s">
        <v>737</v>
      </c>
      <c r="D128" s="120"/>
      <c r="E128" s="120"/>
      <c r="G128" s="22">
        <v>0</v>
      </c>
      <c r="L128" s="5"/>
    </row>
    <row r="129" spans="1:63" x14ac:dyDescent="0.25">
      <c r="A129" s="6"/>
      <c r="B129" s="15" t="s">
        <v>384</v>
      </c>
      <c r="C129" s="121" t="s">
        <v>738</v>
      </c>
      <c r="D129" s="122"/>
      <c r="E129" s="122"/>
      <c r="F129" s="19" t="s">
        <v>6</v>
      </c>
      <c r="G129" s="19" t="s">
        <v>6</v>
      </c>
      <c r="H129" s="19" t="s">
        <v>6</v>
      </c>
      <c r="I129" s="43">
        <f>SUM(I130:I157)</f>
        <v>0</v>
      </c>
      <c r="J129" s="43">
        <f>SUM(J130:J157)</f>
        <v>0</v>
      </c>
      <c r="K129" s="43">
        <f>SUM(K130:K157)</f>
        <v>0</v>
      </c>
      <c r="L129" s="5"/>
      <c r="AH129" s="36"/>
      <c r="AR129" s="43">
        <f>SUM(AI130:AI157)</f>
        <v>0</v>
      </c>
      <c r="AS129" s="43">
        <f>SUM(AJ130:AJ157)</f>
        <v>0</v>
      </c>
      <c r="AT129" s="43">
        <f>SUM(AK130:AK157)</f>
        <v>0</v>
      </c>
    </row>
    <row r="130" spans="1:63" x14ac:dyDescent="0.25">
      <c r="A130" s="4" t="s">
        <v>84</v>
      </c>
      <c r="B130" s="14" t="s">
        <v>385</v>
      </c>
      <c r="C130" s="117" t="s">
        <v>739</v>
      </c>
      <c r="D130" s="118"/>
      <c r="E130" s="118"/>
      <c r="F130" s="14" t="s">
        <v>1024</v>
      </c>
      <c r="G130" s="21">
        <v>2</v>
      </c>
      <c r="H130" s="21">
        <v>0</v>
      </c>
      <c r="I130" s="21">
        <f>G130*AN130</f>
        <v>0</v>
      </c>
      <c r="J130" s="21">
        <f>G130*AO130</f>
        <v>0</v>
      </c>
      <c r="K130" s="21">
        <f t="shared" ref="K130:K135" si="66">G130*H130</f>
        <v>0</v>
      </c>
      <c r="L130" s="5"/>
      <c r="Y130" s="37">
        <f t="shared" ref="Y130:Y135" si="67">IF(AP130="5",BI130,0)</f>
        <v>0</v>
      </c>
      <c r="AA130" s="37">
        <f t="shared" ref="AA130:AA135" si="68">IF(AP130="1",BG130,0)</f>
        <v>0</v>
      </c>
      <c r="AB130" s="37">
        <f t="shared" ref="AB130:AB135" si="69">IF(AP130="1",BH130,0)</f>
        <v>0</v>
      </c>
      <c r="AC130" s="37">
        <f t="shared" ref="AC130:AC135" si="70">IF(AP130="7",BG130,0)</f>
        <v>0</v>
      </c>
      <c r="AD130" s="37">
        <f t="shared" ref="AD130:AD135" si="71">IF(AP130="7",BH130,0)</f>
        <v>0</v>
      </c>
      <c r="AE130" s="37">
        <f t="shared" ref="AE130:AE135" si="72">IF(AP130="2",BG130,0)</f>
        <v>0</v>
      </c>
      <c r="AF130" s="37">
        <f t="shared" ref="AF130:AF135" si="73">IF(AP130="2",BH130,0)</f>
        <v>0</v>
      </c>
      <c r="AG130" s="37">
        <f t="shared" ref="AG130:AG135" si="74">IF(AP130="0",BI130,0)</f>
        <v>0</v>
      </c>
      <c r="AH130" s="36"/>
      <c r="AI130" s="21">
        <f>IF(AM130=0,K130,0)</f>
        <v>0</v>
      </c>
      <c r="AJ130" s="21">
        <f>IF(AM130=15,K130,0)</f>
        <v>0</v>
      </c>
      <c r="AK130" s="21">
        <f>IF(AM130=21,K130,0)</f>
        <v>0</v>
      </c>
      <c r="AM130" s="37">
        <v>21</v>
      </c>
      <c r="AN130" s="37">
        <f>H130*0</f>
        <v>0</v>
      </c>
      <c r="AO130" s="37">
        <f>H130*(1-0)</f>
        <v>0</v>
      </c>
      <c r="AP130" s="38" t="s">
        <v>13</v>
      </c>
      <c r="AU130" s="37">
        <f t="shared" ref="AU130:AU135" si="75">AV130+AW130</f>
        <v>0</v>
      </c>
      <c r="AV130" s="37">
        <f>G130*AN130</f>
        <v>0</v>
      </c>
      <c r="AW130" s="37">
        <f>G130*AO130</f>
        <v>0</v>
      </c>
      <c r="AX130" s="40" t="s">
        <v>1072</v>
      </c>
      <c r="AY130" s="40" t="s">
        <v>1116</v>
      </c>
      <c r="AZ130" s="36" t="s">
        <v>1122</v>
      </c>
      <c r="BB130" s="37">
        <f t="shared" ref="BB130:BB135" si="76">AV130+AW130</f>
        <v>0</v>
      </c>
      <c r="BC130" s="37">
        <f>H130/(100-BD130)*100</f>
        <v>0</v>
      </c>
      <c r="BD130" s="37">
        <v>0</v>
      </c>
      <c r="BE130" s="37">
        <f>130</f>
        <v>130</v>
      </c>
      <c r="BG130" s="21">
        <f>G130*AN130</f>
        <v>0</v>
      </c>
      <c r="BH130" s="21">
        <f>G130*AO130</f>
        <v>0</v>
      </c>
      <c r="BI130" s="21">
        <f>G130*H130</f>
        <v>0</v>
      </c>
      <c r="BJ130" s="21" t="s">
        <v>1127</v>
      </c>
      <c r="BK130" s="37">
        <v>731</v>
      </c>
    </row>
    <row r="131" spans="1:63" x14ac:dyDescent="0.25">
      <c r="A131" s="4" t="s">
        <v>85</v>
      </c>
      <c r="B131" s="14" t="s">
        <v>386</v>
      </c>
      <c r="C131" s="117" t="s">
        <v>740</v>
      </c>
      <c r="D131" s="118"/>
      <c r="E131" s="118"/>
      <c r="F131" s="14" t="s">
        <v>1024</v>
      </c>
      <c r="G131" s="21">
        <v>1</v>
      </c>
      <c r="H131" s="21">
        <v>0</v>
      </c>
      <c r="I131" s="21">
        <f>G131*AN131</f>
        <v>0</v>
      </c>
      <c r="J131" s="21">
        <f>G131*AO131</f>
        <v>0</v>
      </c>
      <c r="K131" s="21">
        <f t="shared" si="66"/>
        <v>0</v>
      </c>
      <c r="L131" s="5"/>
      <c r="Y131" s="37">
        <f t="shared" si="67"/>
        <v>0</v>
      </c>
      <c r="AA131" s="37">
        <f t="shared" si="68"/>
        <v>0</v>
      </c>
      <c r="AB131" s="37">
        <f t="shared" si="69"/>
        <v>0</v>
      </c>
      <c r="AC131" s="37">
        <f t="shared" si="70"/>
        <v>0</v>
      </c>
      <c r="AD131" s="37">
        <f t="shared" si="71"/>
        <v>0</v>
      </c>
      <c r="AE131" s="37">
        <f t="shared" si="72"/>
        <v>0</v>
      </c>
      <c r="AF131" s="37">
        <f t="shared" si="73"/>
        <v>0</v>
      </c>
      <c r="AG131" s="37">
        <f t="shared" si="74"/>
        <v>0</v>
      </c>
      <c r="AH131" s="36"/>
      <c r="AI131" s="21">
        <f>IF(AM131=0,K131,0)</f>
        <v>0</v>
      </c>
      <c r="AJ131" s="21">
        <f>IF(AM131=15,K131,0)</f>
        <v>0</v>
      </c>
      <c r="AK131" s="21">
        <f>IF(AM131=21,K131,0)</f>
        <v>0</v>
      </c>
      <c r="AM131" s="37">
        <v>21</v>
      </c>
      <c r="AN131" s="37">
        <f>H131*0.00400790513833992</f>
        <v>0</v>
      </c>
      <c r="AO131" s="37">
        <f>H131*(1-0.00400790513833992)</f>
        <v>0</v>
      </c>
      <c r="AP131" s="38" t="s">
        <v>13</v>
      </c>
      <c r="AU131" s="37">
        <f t="shared" si="75"/>
        <v>0</v>
      </c>
      <c r="AV131" s="37">
        <f>G131*AN131</f>
        <v>0</v>
      </c>
      <c r="AW131" s="37">
        <f>G131*AO131</f>
        <v>0</v>
      </c>
      <c r="AX131" s="40" t="s">
        <v>1072</v>
      </c>
      <c r="AY131" s="40" t="s">
        <v>1116</v>
      </c>
      <c r="AZ131" s="36" t="s">
        <v>1122</v>
      </c>
      <c r="BB131" s="37">
        <f t="shared" si="76"/>
        <v>0</v>
      </c>
      <c r="BC131" s="37">
        <f>H131/(100-BD131)*100</f>
        <v>0</v>
      </c>
      <c r="BD131" s="37">
        <v>0</v>
      </c>
      <c r="BE131" s="37">
        <f>131</f>
        <v>131</v>
      </c>
      <c r="BG131" s="21">
        <f>G131*AN131</f>
        <v>0</v>
      </c>
      <c r="BH131" s="21">
        <f>G131*AO131</f>
        <v>0</v>
      </c>
      <c r="BI131" s="21">
        <f>G131*H131</f>
        <v>0</v>
      </c>
      <c r="BJ131" s="21" t="s">
        <v>1127</v>
      </c>
      <c r="BK131" s="37">
        <v>731</v>
      </c>
    </row>
    <row r="132" spans="1:63" x14ac:dyDescent="0.25">
      <c r="A132" s="4" t="s">
        <v>86</v>
      </c>
      <c r="B132" s="14" t="s">
        <v>387</v>
      </c>
      <c r="C132" s="117" t="s">
        <v>741</v>
      </c>
      <c r="D132" s="118"/>
      <c r="E132" s="118"/>
      <c r="F132" s="14" t="s">
        <v>1024</v>
      </c>
      <c r="G132" s="21">
        <v>1</v>
      </c>
      <c r="H132" s="21">
        <v>0</v>
      </c>
      <c r="I132" s="21">
        <f>G132*AN132</f>
        <v>0</v>
      </c>
      <c r="J132" s="21">
        <f>G132*AO132</f>
        <v>0</v>
      </c>
      <c r="K132" s="21">
        <f t="shared" si="66"/>
        <v>0</v>
      </c>
      <c r="L132" s="5"/>
      <c r="Y132" s="37">
        <f t="shared" si="67"/>
        <v>0</v>
      </c>
      <c r="AA132" s="37">
        <f t="shared" si="68"/>
        <v>0</v>
      </c>
      <c r="AB132" s="37">
        <f t="shared" si="69"/>
        <v>0</v>
      </c>
      <c r="AC132" s="37">
        <f t="shared" si="70"/>
        <v>0</v>
      </c>
      <c r="AD132" s="37">
        <f t="shared" si="71"/>
        <v>0</v>
      </c>
      <c r="AE132" s="37">
        <f t="shared" si="72"/>
        <v>0</v>
      </c>
      <c r="AF132" s="37">
        <f t="shared" si="73"/>
        <v>0</v>
      </c>
      <c r="AG132" s="37">
        <f t="shared" si="74"/>
        <v>0</v>
      </c>
      <c r="AH132" s="36"/>
      <c r="AI132" s="21">
        <f>IF(AM132=0,K132,0)</f>
        <v>0</v>
      </c>
      <c r="AJ132" s="21">
        <f>IF(AM132=15,K132,0)</f>
        <v>0</v>
      </c>
      <c r="AK132" s="21">
        <f>IF(AM132=21,K132,0)</f>
        <v>0</v>
      </c>
      <c r="AM132" s="37">
        <v>21</v>
      </c>
      <c r="AN132" s="37">
        <f>H132*0.00660964408725603</f>
        <v>0</v>
      </c>
      <c r="AO132" s="37">
        <f>H132*(1-0.00660964408725603)</f>
        <v>0</v>
      </c>
      <c r="AP132" s="38" t="s">
        <v>13</v>
      </c>
      <c r="AU132" s="37">
        <f t="shared" si="75"/>
        <v>0</v>
      </c>
      <c r="AV132" s="37">
        <f>G132*AN132</f>
        <v>0</v>
      </c>
      <c r="AW132" s="37">
        <f>G132*AO132</f>
        <v>0</v>
      </c>
      <c r="AX132" s="40" t="s">
        <v>1072</v>
      </c>
      <c r="AY132" s="40" t="s">
        <v>1116</v>
      </c>
      <c r="AZ132" s="36" t="s">
        <v>1122</v>
      </c>
      <c r="BB132" s="37">
        <f t="shared" si="76"/>
        <v>0</v>
      </c>
      <c r="BC132" s="37">
        <f>H132/(100-BD132)*100</f>
        <v>0</v>
      </c>
      <c r="BD132" s="37">
        <v>0</v>
      </c>
      <c r="BE132" s="37">
        <f>132</f>
        <v>132</v>
      </c>
      <c r="BG132" s="21">
        <f>G132*AN132</f>
        <v>0</v>
      </c>
      <c r="BH132" s="21">
        <f>G132*AO132</f>
        <v>0</v>
      </c>
      <c r="BI132" s="21">
        <f>G132*H132</f>
        <v>0</v>
      </c>
      <c r="BJ132" s="21" t="s">
        <v>1127</v>
      </c>
      <c r="BK132" s="37">
        <v>731</v>
      </c>
    </row>
    <row r="133" spans="1:63" x14ac:dyDescent="0.25">
      <c r="A133" s="4" t="s">
        <v>87</v>
      </c>
      <c r="B133" s="14" t="s">
        <v>388</v>
      </c>
      <c r="C133" s="117" t="s">
        <v>742</v>
      </c>
      <c r="D133" s="118"/>
      <c r="E133" s="118"/>
      <c r="F133" s="14" t="s">
        <v>1025</v>
      </c>
      <c r="G133" s="21">
        <v>2</v>
      </c>
      <c r="H133" s="21">
        <v>0</v>
      </c>
      <c r="I133" s="21">
        <f>G133*AN133</f>
        <v>0</v>
      </c>
      <c r="J133" s="21">
        <f>G133*AO133</f>
        <v>0</v>
      </c>
      <c r="K133" s="21">
        <f t="shared" si="66"/>
        <v>0</v>
      </c>
      <c r="L133" s="5"/>
      <c r="Y133" s="37">
        <f t="shared" si="67"/>
        <v>0</v>
      </c>
      <c r="AA133" s="37">
        <f t="shared" si="68"/>
        <v>0</v>
      </c>
      <c r="AB133" s="37">
        <f t="shared" si="69"/>
        <v>0</v>
      </c>
      <c r="AC133" s="37">
        <f t="shared" si="70"/>
        <v>0</v>
      </c>
      <c r="AD133" s="37">
        <f t="shared" si="71"/>
        <v>0</v>
      </c>
      <c r="AE133" s="37">
        <f t="shared" si="72"/>
        <v>0</v>
      </c>
      <c r="AF133" s="37">
        <f t="shared" si="73"/>
        <v>0</v>
      </c>
      <c r="AG133" s="37">
        <f t="shared" si="74"/>
        <v>0</v>
      </c>
      <c r="AH133" s="36"/>
      <c r="AI133" s="21">
        <f>IF(AM133=0,K133,0)</f>
        <v>0</v>
      </c>
      <c r="AJ133" s="21">
        <f>IF(AM133=15,K133,0)</f>
        <v>0</v>
      </c>
      <c r="AK133" s="21">
        <f>IF(AM133=21,K133,0)</f>
        <v>0</v>
      </c>
      <c r="AM133" s="37">
        <v>21</v>
      </c>
      <c r="AN133" s="37">
        <f>H133*0.311880159786951</f>
        <v>0</v>
      </c>
      <c r="AO133" s="37">
        <f>H133*(1-0.311880159786951)</f>
        <v>0</v>
      </c>
      <c r="AP133" s="38" t="s">
        <v>13</v>
      </c>
      <c r="AU133" s="37">
        <f t="shared" si="75"/>
        <v>0</v>
      </c>
      <c r="AV133" s="37">
        <f>G133*AN133</f>
        <v>0</v>
      </c>
      <c r="AW133" s="37">
        <f>G133*AO133</f>
        <v>0</v>
      </c>
      <c r="AX133" s="40" t="s">
        <v>1072</v>
      </c>
      <c r="AY133" s="40" t="s">
        <v>1116</v>
      </c>
      <c r="AZ133" s="36" t="s">
        <v>1122</v>
      </c>
      <c r="BB133" s="37">
        <f t="shared" si="76"/>
        <v>0</v>
      </c>
      <c r="BC133" s="37">
        <f>H133/(100-BD133)*100</f>
        <v>0</v>
      </c>
      <c r="BD133" s="37">
        <v>0</v>
      </c>
      <c r="BE133" s="37">
        <f>133</f>
        <v>133</v>
      </c>
      <c r="BG133" s="21">
        <f>G133*AN133</f>
        <v>0</v>
      </c>
      <c r="BH133" s="21">
        <f>G133*AO133</f>
        <v>0</v>
      </c>
      <c r="BI133" s="21">
        <f>G133*H133</f>
        <v>0</v>
      </c>
      <c r="BJ133" s="21" t="s">
        <v>1127</v>
      </c>
      <c r="BK133" s="37">
        <v>731</v>
      </c>
    </row>
    <row r="134" spans="1:63" x14ac:dyDescent="0.25">
      <c r="A134" s="7" t="s">
        <v>88</v>
      </c>
      <c r="B134" s="16" t="s">
        <v>389</v>
      </c>
      <c r="C134" s="123" t="s">
        <v>743</v>
      </c>
      <c r="D134" s="124"/>
      <c r="E134" s="124"/>
      <c r="F134" s="16" t="s">
        <v>1025</v>
      </c>
      <c r="G134" s="23">
        <v>2</v>
      </c>
      <c r="H134" s="23">
        <v>0</v>
      </c>
      <c r="I134" s="23">
        <f>G134*AN134</f>
        <v>0</v>
      </c>
      <c r="J134" s="23">
        <f>G134*AO134</f>
        <v>0</v>
      </c>
      <c r="K134" s="23">
        <f t="shared" si="66"/>
        <v>0</v>
      </c>
      <c r="L134" s="5"/>
      <c r="Y134" s="37">
        <f t="shared" si="67"/>
        <v>0</v>
      </c>
      <c r="AA134" s="37">
        <f t="shared" si="68"/>
        <v>0</v>
      </c>
      <c r="AB134" s="37">
        <f t="shared" si="69"/>
        <v>0</v>
      </c>
      <c r="AC134" s="37">
        <f t="shared" si="70"/>
        <v>0</v>
      </c>
      <c r="AD134" s="37">
        <f t="shared" si="71"/>
        <v>0</v>
      </c>
      <c r="AE134" s="37">
        <f t="shared" si="72"/>
        <v>0</v>
      </c>
      <c r="AF134" s="37">
        <f t="shared" si="73"/>
        <v>0</v>
      </c>
      <c r="AG134" s="37">
        <f t="shared" si="74"/>
        <v>0</v>
      </c>
      <c r="AH134" s="36"/>
      <c r="AI134" s="23">
        <f>IF(AM134=0,K134,0)</f>
        <v>0</v>
      </c>
      <c r="AJ134" s="23">
        <f>IF(AM134=15,K134,0)</f>
        <v>0</v>
      </c>
      <c r="AK134" s="23">
        <f>IF(AM134=21,K134,0)</f>
        <v>0</v>
      </c>
      <c r="AM134" s="37">
        <v>21</v>
      </c>
      <c r="AN134" s="37">
        <f>H134*1</f>
        <v>0</v>
      </c>
      <c r="AO134" s="37">
        <f>H134*(1-1)</f>
        <v>0</v>
      </c>
      <c r="AP134" s="39" t="s">
        <v>13</v>
      </c>
      <c r="AU134" s="37">
        <f t="shared" si="75"/>
        <v>0</v>
      </c>
      <c r="AV134" s="37">
        <f>G134*AN134</f>
        <v>0</v>
      </c>
      <c r="AW134" s="37">
        <f>G134*AO134</f>
        <v>0</v>
      </c>
      <c r="AX134" s="40" t="s">
        <v>1072</v>
      </c>
      <c r="AY134" s="40" t="s">
        <v>1116</v>
      </c>
      <c r="AZ134" s="36" t="s">
        <v>1122</v>
      </c>
      <c r="BB134" s="37">
        <f t="shared" si="76"/>
        <v>0</v>
      </c>
      <c r="BC134" s="37">
        <f>H134/(100-BD134)*100</f>
        <v>0</v>
      </c>
      <c r="BD134" s="37">
        <v>0</v>
      </c>
      <c r="BE134" s="37">
        <f>134</f>
        <v>134</v>
      </c>
      <c r="BG134" s="23">
        <f>G134*AN134</f>
        <v>0</v>
      </c>
      <c r="BH134" s="23">
        <f>G134*AO134</f>
        <v>0</v>
      </c>
      <c r="BI134" s="23">
        <f>G134*H134</f>
        <v>0</v>
      </c>
      <c r="BJ134" s="23" t="s">
        <v>1128</v>
      </c>
      <c r="BK134" s="37">
        <v>731</v>
      </c>
    </row>
    <row r="135" spans="1:63" x14ac:dyDescent="0.25">
      <c r="A135" s="4" t="s">
        <v>89</v>
      </c>
      <c r="B135" s="14" t="s">
        <v>390</v>
      </c>
      <c r="C135" s="117" t="s">
        <v>744</v>
      </c>
      <c r="D135" s="118"/>
      <c r="E135" s="118"/>
      <c r="F135" s="14" t="s">
        <v>1024</v>
      </c>
      <c r="G135" s="21">
        <v>2</v>
      </c>
      <c r="H135" s="21">
        <v>0</v>
      </c>
      <c r="I135" s="21">
        <f>G135*AN135</f>
        <v>0</v>
      </c>
      <c r="J135" s="21">
        <f>G135*AO135</f>
        <v>0</v>
      </c>
      <c r="K135" s="21">
        <f t="shared" si="66"/>
        <v>0</v>
      </c>
      <c r="L135" s="5"/>
      <c r="Y135" s="37">
        <f t="shared" si="67"/>
        <v>0</v>
      </c>
      <c r="AA135" s="37">
        <f t="shared" si="68"/>
        <v>0</v>
      </c>
      <c r="AB135" s="37">
        <f t="shared" si="69"/>
        <v>0</v>
      </c>
      <c r="AC135" s="37">
        <f t="shared" si="70"/>
        <v>0</v>
      </c>
      <c r="AD135" s="37">
        <f t="shared" si="71"/>
        <v>0</v>
      </c>
      <c r="AE135" s="37">
        <f t="shared" si="72"/>
        <v>0</v>
      </c>
      <c r="AF135" s="37">
        <f t="shared" si="73"/>
        <v>0</v>
      </c>
      <c r="AG135" s="37">
        <f t="shared" si="74"/>
        <v>0</v>
      </c>
      <c r="AH135" s="36"/>
      <c r="AI135" s="21">
        <f>IF(AM135=0,K135,0)</f>
        <v>0</v>
      </c>
      <c r="AJ135" s="21">
        <f>IF(AM135=15,K135,0)</f>
        <v>0</v>
      </c>
      <c r="AK135" s="21">
        <f>IF(AM135=21,K135,0)</f>
        <v>0</v>
      </c>
      <c r="AM135" s="37">
        <v>21</v>
      </c>
      <c r="AN135" s="37">
        <f>H135*0.924486396446419</f>
        <v>0</v>
      </c>
      <c r="AO135" s="37">
        <f>H135*(1-0.924486396446419)</f>
        <v>0</v>
      </c>
      <c r="AP135" s="38" t="s">
        <v>13</v>
      </c>
      <c r="AU135" s="37">
        <f t="shared" si="75"/>
        <v>0</v>
      </c>
      <c r="AV135" s="37">
        <f>G135*AN135</f>
        <v>0</v>
      </c>
      <c r="AW135" s="37">
        <f>G135*AO135</f>
        <v>0</v>
      </c>
      <c r="AX135" s="40" t="s">
        <v>1072</v>
      </c>
      <c r="AY135" s="40" t="s">
        <v>1116</v>
      </c>
      <c r="AZ135" s="36" t="s">
        <v>1122</v>
      </c>
      <c r="BB135" s="37">
        <f t="shared" si="76"/>
        <v>0</v>
      </c>
      <c r="BC135" s="37">
        <f>H135/(100-BD135)*100</f>
        <v>0</v>
      </c>
      <c r="BD135" s="37">
        <v>0</v>
      </c>
      <c r="BE135" s="37">
        <f>135</f>
        <v>135</v>
      </c>
      <c r="BG135" s="21">
        <f>G135*AN135</f>
        <v>0</v>
      </c>
      <c r="BH135" s="21">
        <f>G135*AO135</f>
        <v>0</v>
      </c>
      <c r="BI135" s="21">
        <f>G135*H135</f>
        <v>0</v>
      </c>
      <c r="BJ135" s="21" t="s">
        <v>1127</v>
      </c>
      <c r="BK135" s="37">
        <v>731</v>
      </c>
    </row>
    <row r="136" spans="1:63" x14ac:dyDescent="0.25">
      <c r="A136" s="5"/>
      <c r="C136" s="119" t="s">
        <v>745</v>
      </c>
      <c r="D136" s="120"/>
      <c r="E136" s="120"/>
      <c r="G136" s="22">
        <v>2</v>
      </c>
      <c r="L136" s="5"/>
    </row>
    <row r="137" spans="1:63" x14ac:dyDescent="0.25">
      <c r="A137" s="7" t="s">
        <v>90</v>
      </c>
      <c r="B137" s="16" t="s">
        <v>391</v>
      </c>
      <c r="C137" s="123" t="s">
        <v>746</v>
      </c>
      <c r="D137" s="124"/>
      <c r="E137" s="124"/>
      <c r="F137" s="16" t="s">
        <v>1025</v>
      </c>
      <c r="G137" s="23">
        <v>1</v>
      </c>
      <c r="H137" s="23">
        <v>0</v>
      </c>
      <c r="I137" s="23">
        <f>G137*AN137</f>
        <v>0</v>
      </c>
      <c r="J137" s="23">
        <f>G137*AO137</f>
        <v>0</v>
      </c>
      <c r="K137" s="23">
        <f t="shared" ref="K137:K157" si="77">G137*H137</f>
        <v>0</v>
      </c>
      <c r="L137" s="5"/>
      <c r="Y137" s="37">
        <f t="shared" ref="Y137:Y157" si="78">IF(AP137="5",BI137,0)</f>
        <v>0</v>
      </c>
      <c r="AA137" s="37">
        <f t="shared" ref="AA137:AA157" si="79">IF(AP137="1",BG137,0)</f>
        <v>0</v>
      </c>
      <c r="AB137" s="37">
        <f t="shared" ref="AB137:AB157" si="80">IF(AP137="1",BH137,0)</f>
        <v>0</v>
      </c>
      <c r="AC137" s="37">
        <f t="shared" ref="AC137:AC157" si="81">IF(AP137="7",BG137,0)</f>
        <v>0</v>
      </c>
      <c r="AD137" s="37">
        <f t="shared" ref="AD137:AD157" si="82">IF(AP137="7",BH137,0)</f>
        <v>0</v>
      </c>
      <c r="AE137" s="37">
        <f t="shared" ref="AE137:AE157" si="83">IF(AP137="2",BG137,0)</f>
        <v>0</v>
      </c>
      <c r="AF137" s="37">
        <f t="shared" ref="AF137:AF157" si="84">IF(AP137="2",BH137,0)</f>
        <v>0</v>
      </c>
      <c r="AG137" s="37">
        <f t="shared" ref="AG137:AG157" si="85">IF(AP137="0",BI137,0)</f>
        <v>0</v>
      </c>
      <c r="AH137" s="36"/>
      <c r="AI137" s="23">
        <f>IF(AM137=0,K137,0)</f>
        <v>0</v>
      </c>
      <c r="AJ137" s="23">
        <f>IF(AM137=15,K137,0)</f>
        <v>0</v>
      </c>
      <c r="AK137" s="23">
        <f>IF(AM137=21,K137,0)</f>
        <v>0</v>
      </c>
      <c r="AM137" s="37">
        <v>21</v>
      </c>
      <c r="AN137" s="37">
        <f>H137*1</f>
        <v>0</v>
      </c>
      <c r="AO137" s="37">
        <f>H137*(1-1)</f>
        <v>0</v>
      </c>
      <c r="AP137" s="39" t="s">
        <v>13</v>
      </c>
      <c r="AU137" s="37">
        <f t="shared" ref="AU137:AU157" si="86">AV137+AW137</f>
        <v>0</v>
      </c>
      <c r="AV137" s="37">
        <f>G137*AN137</f>
        <v>0</v>
      </c>
      <c r="AW137" s="37">
        <f>G137*AO137</f>
        <v>0</v>
      </c>
      <c r="AX137" s="40" t="s">
        <v>1072</v>
      </c>
      <c r="AY137" s="40" t="s">
        <v>1116</v>
      </c>
      <c r="AZ137" s="36" t="s">
        <v>1122</v>
      </c>
      <c r="BB137" s="37">
        <f t="shared" ref="BB137:BB157" si="87">AV137+AW137</f>
        <v>0</v>
      </c>
      <c r="BC137" s="37">
        <f>H137/(100-BD137)*100</f>
        <v>0</v>
      </c>
      <c r="BD137" s="37">
        <v>0</v>
      </c>
      <c r="BE137" s="37">
        <f>137</f>
        <v>137</v>
      </c>
      <c r="BG137" s="23">
        <f>G137*AN137</f>
        <v>0</v>
      </c>
      <c r="BH137" s="23">
        <f>G137*AO137</f>
        <v>0</v>
      </c>
      <c r="BI137" s="23">
        <f>G137*H137</f>
        <v>0</v>
      </c>
      <c r="BJ137" s="23" t="s">
        <v>1128</v>
      </c>
      <c r="BK137" s="37">
        <v>731</v>
      </c>
    </row>
    <row r="138" spans="1:63" x14ac:dyDescent="0.25">
      <c r="A138" s="7" t="s">
        <v>91</v>
      </c>
      <c r="B138" s="16" t="s">
        <v>391</v>
      </c>
      <c r="C138" s="123" t="s">
        <v>747</v>
      </c>
      <c r="D138" s="124"/>
      <c r="E138" s="124"/>
      <c r="F138" s="16" t="s">
        <v>1024</v>
      </c>
      <c r="G138" s="23">
        <v>2</v>
      </c>
      <c r="H138" s="23">
        <v>0</v>
      </c>
      <c r="I138" s="23">
        <f>G138*AN138</f>
        <v>0</v>
      </c>
      <c r="J138" s="23">
        <f>G138*AO138</f>
        <v>0</v>
      </c>
      <c r="K138" s="23">
        <f t="shared" si="77"/>
        <v>0</v>
      </c>
      <c r="L138" s="5"/>
      <c r="Y138" s="37">
        <f t="shared" si="78"/>
        <v>0</v>
      </c>
      <c r="AA138" s="37">
        <f t="shared" si="79"/>
        <v>0</v>
      </c>
      <c r="AB138" s="37">
        <f t="shared" si="80"/>
        <v>0</v>
      </c>
      <c r="AC138" s="37">
        <f t="shared" si="81"/>
        <v>0</v>
      </c>
      <c r="AD138" s="37">
        <f t="shared" si="82"/>
        <v>0</v>
      </c>
      <c r="AE138" s="37">
        <f t="shared" si="83"/>
        <v>0</v>
      </c>
      <c r="AF138" s="37">
        <f t="shared" si="84"/>
        <v>0</v>
      </c>
      <c r="AG138" s="37">
        <f t="shared" si="85"/>
        <v>0</v>
      </c>
      <c r="AH138" s="36"/>
      <c r="AI138" s="23">
        <f>IF(AM138=0,K138,0)</f>
        <v>0</v>
      </c>
      <c r="AJ138" s="23">
        <f>IF(AM138=15,K138,0)</f>
        <v>0</v>
      </c>
      <c r="AK138" s="23">
        <f>IF(AM138=21,K138,0)</f>
        <v>0</v>
      </c>
      <c r="AM138" s="37">
        <v>21</v>
      </c>
      <c r="AN138" s="37">
        <f>H138*1</f>
        <v>0</v>
      </c>
      <c r="AO138" s="37">
        <f>H138*(1-1)</f>
        <v>0</v>
      </c>
      <c r="AP138" s="39" t="s">
        <v>13</v>
      </c>
      <c r="AU138" s="37">
        <f t="shared" si="86"/>
        <v>0</v>
      </c>
      <c r="AV138" s="37">
        <f>G138*AN138</f>
        <v>0</v>
      </c>
      <c r="AW138" s="37">
        <f>G138*AO138</f>
        <v>0</v>
      </c>
      <c r="AX138" s="40" t="s">
        <v>1072</v>
      </c>
      <c r="AY138" s="40" t="s">
        <v>1116</v>
      </c>
      <c r="AZ138" s="36" t="s">
        <v>1122</v>
      </c>
      <c r="BB138" s="37">
        <f t="shared" si="87"/>
        <v>0</v>
      </c>
      <c r="BC138" s="37">
        <f>H138/(100-BD138)*100</f>
        <v>0</v>
      </c>
      <c r="BD138" s="37">
        <v>0</v>
      </c>
      <c r="BE138" s="37">
        <f>138</f>
        <v>138</v>
      </c>
      <c r="BG138" s="23">
        <f>G138*AN138</f>
        <v>0</v>
      </c>
      <c r="BH138" s="23">
        <f>G138*AO138</f>
        <v>0</v>
      </c>
      <c r="BI138" s="23">
        <f>G138*H138</f>
        <v>0</v>
      </c>
      <c r="BJ138" s="23" t="s">
        <v>1128</v>
      </c>
      <c r="BK138" s="37">
        <v>731</v>
      </c>
    </row>
    <row r="139" spans="1:63" x14ac:dyDescent="0.25">
      <c r="A139" s="7" t="s">
        <v>92</v>
      </c>
      <c r="B139" s="16" t="s">
        <v>392</v>
      </c>
      <c r="C139" s="123" t="s">
        <v>748</v>
      </c>
      <c r="D139" s="124"/>
      <c r="E139" s="124"/>
      <c r="F139" s="16" t="s">
        <v>1025</v>
      </c>
      <c r="G139" s="23">
        <v>1</v>
      </c>
      <c r="H139" s="23">
        <v>0</v>
      </c>
      <c r="I139" s="23">
        <f>G139*AN139</f>
        <v>0</v>
      </c>
      <c r="J139" s="23">
        <f>G139*AO139</f>
        <v>0</v>
      </c>
      <c r="K139" s="23">
        <f t="shared" si="77"/>
        <v>0</v>
      </c>
      <c r="L139" s="5"/>
      <c r="Y139" s="37">
        <f t="shared" si="78"/>
        <v>0</v>
      </c>
      <c r="AA139" s="37">
        <f t="shared" si="79"/>
        <v>0</v>
      </c>
      <c r="AB139" s="37">
        <f t="shared" si="80"/>
        <v>0</v>
      </c>
      <c r="AC139" s="37">
        <f t="shared" si="81"/>
        <v>0</v>
      </c>
      <c r="AD139" s="37">
        <f t="shared" si="82"/>
        <v>0</v>
      </c>
      <c r="AE139" s="37">
        <f t="shared" si="83"/>
        <v>0</v>
      </c>
      <c r="AF139" s="37">
        <f t="shared" si="84"/>
        <v>0</v>
      </c>
      <c r="AG139" s="37">
        <f t="shared" si="85"/>
        <v>0</v>
      </c>
      <c r="AH139" s="36"/>
      <c r="AI139" s="23">
        <f>IF(AM139=0,K139,0)</f>
        <v>0</v>
      </c>
      <c r="AJ139" s="23">
        <f>IF(AM139=15,K139,0)</f>
        <v>0</v>
      </c>
      <c r="AK139" s="23">
        <f>IF(AM139=21,K139,0)</f>
        <v>0</v>
      </c>
      <c r="AM139" s="37">
        <v>21</v>
      </c>
      <c r="AN139" s="37">
        <f>H139*1</f>
        <v>0</v>
      </c>
      <c r="AO139" s="37">
        <f>H139*(1-1)</f>
        <v>0</v>
      </c>
      <c r="AP139" s="39" t="s">
        <v>13</v>
      </c>
      <c r="AU139" s="37">
        <f t="shared" si="86"/>
        <v>0</v>
      </c>
      <c r="AV139" s="37">
        <f>G139*AN139</f>
        <v>0</v>
      </c>
      <c r="AW139" s="37">
        <f>G139*AO139</f>
        <v>0</v>
      </c>
      <c r="AX139" s="40" t="s">
        <v>1072</v>
      </c>
      <c r="AY139" s="40" t="s">
        <v>1116</v>
      </c>
      <c r="AZ139" s="36" t="s">
        <v>1122</v>
      </c>
      <c r="BB139" s="37">
        <f t="shared" si="87"/>
        <v>0</v>
      </c>
      <c r="BC139" s="37">
        <f>H139/(100-BD139)*100</f>
        <v>0</v>
      </c>
      <c r="BD139" s="37">
        <v>0</v>
      </c>
      <c r="BE139" s="37">
        <f>139</f>
        <v>139</v>
      </c>
      <c r="BG139" s="23">
        <f>G139*AN139</f>
        <v>0</v>
      </c>
      <c r="BH139" s="23">
        <f>G139*AO139</f>
        <v>0</v>
      </c>
      <c r="BI139" s="23">
        <f>G139*H139</f>
        <v>0</v>
      </c>
      <c r="BJ139" s="23" t="s">
        <v>1128</v>
      </c>
      <c r="BK139" s="37">
        <v>731</v>
      </c>
    </row>
    <row r="140" spans="1:63" x14ac:dyDescent="0.25">
      <c r="A140" s="7" t="s">
        <v>93</v>
      </c>
      <c r="B140" s="16" t="s">
        <v>391</v>
      </c>
      <c r="C140" s="123" t="s">
        <v>749</v>
      </c>
      <c r="D140" s="124"/>
      <c r="E140" s="124"/>
      <c r="F140" s="16" t="s">
        <v>1025</v>
      </c>
      <c r="G140" s="23">
        <v>1</v>
      </c>
      <c r="H140" s="23">
        <v>0</v>
      </c>
      <c r="I140" s="23">
        <f>G140*AN140</f>
        <v>0</v>
      </c>
      <c r="J140" s="23">
        <f>G140*AO140</f>
        <v>0</v>
      </c>
      <c r="K140" s="23">
        <f t="shared" si="77"/>
        <v>0</v>
      </c>
      <c r="L140" s="5"/>
      <c r="Y140" s="37">
        <f t="shared" si="78"/>
        <v>0</v>
      </c>
      <c r="AA140" s="37">
        <f t="shared" si="79"/>
        <v>0</v>
      </c>
      <c r="AB140" s="37">
        <f t="shared" si="80"/>
        <v>0</v>
      </c>
      <c r="AC140" s="37">
        <f t="shared" si="81"/>
        <v>0</v>
      </c>
      <c r="AD140" s="37">
        <f t="shared" si="82"/>
        <v>0</v>
      </c>
      <c r="AE140" s="37">
        <f t="shared" si="83"/>
        <v>0</v>
      </c>
      <c r="AF140" s="37">
        <f t="shared" si="84"/>
        <v>0</v>
      </c>
      <c r="AG140" s="37">
        <f t="shared" si="85"/>
        <v>0</v>
      </c>
      <c r="AH140" s="36"/>
      <c r="AI140" s="23">
        <f>IF(AM140=0,K140,0)</f>
        <v>0</v>
      </c>
      <c r="AJ140" s="23">
        <f>IF(AM140=15,K140,0)</f>
        <v>0</v>
      </c>
      <c r="AK140" s="23">
        <f>IF(AM140=21,K140,0)</f>
        <v>0</v>
      </c>
      <c r="AM140" s="37">
        <v>21</v>
      </c>
      <c r="AN140" s="37">
        <f>H140*1</f>
        <v>0</v>
      </c>
      <c r="AO140" s="37">
        <f>H140*(1-1)</f>
        <v>0</v>
      </c>
      <c r="AP140" s="39" t="s">
        <v>13</v>
      </c>
      <c r="AU140" s="37">
        <f t="shared" si="86"/>
        <v>0</v>
      </c>
      <c r="AV140" s="37">
        <f>G140*AN140</f>
        <v>0</v>
      </c>
      <c r="AW140" s="37">
        <f>G140*AO140</f>
        <v>0</v>
      </c>
      <c r="AX140" s="40" t="s">
        <v>1072</v>
      </c>
      <c r="AY140" s="40" t="s">
        <v>1116</v>
      </c>
      <c r="AZ140" s="36" t="s">
        <v>1122</v>
      </c>
      <c r="BB140" s="37">
        <f t="shared" si="87"/>
        <v>0</v>
      </c>
      <c r="BC140" s="37">
        <f>H140/(100-BD140)*100</f>
        <v>0</v>
      </c>
      <c r="BD140" s="37">
        <v>0</v>
      </c>
      <c r="BE140" s="37">
        <f>140</f>
        <v>140</v>
      </c>
      <c r="BG140" s="23">
        <f>G140*AN140</f>
        <v>0</v>
      </c>
      <c r="BH140" s="23">
        <f>G140*AO140</f>
        <v>0</v>
      </c>
      <c r="BI140" s="23">
        <f>G140*H140</f>
        <v>0</v>
      </c>
      <c r="BJ140" s="23" t="s">
        <v>1128</v>
      </c>
      <c r="BK140" s="37">
        <v>731</v>
      </c>
    </row>
    <row r="141" spans="1:63" x14ac:dyDescent="0.25">
      <c r="A141" s="7" t="s">
        <v>94</v>
      </c>
      <c r="B141" s="16" t="s">
        <v>393</v>
      </c>
      <c r="C141" s="123" t="s">
        <v>750</v>
      </c>
      <c r="D141" s="124"/>
      <c r="E141" s="124"/>
      <c r="F141" s="16" t="s">
        <v>1025</v>
      </c>
      <c r="G141" s="23">
        <v>2</v>
      </c>
      <c r="H141" s="23">
        <v>0</v>
      </c>
      <c r="I141" s="23">
        <f>G141*AN141</f>
        <v>0</v>
      </c>
      <c r="J141" s="23">
        <f>G141*AO141</f>
        <v>0</v>
      </c>
      <c r="K141" s="23">
        <f t="shared" si="77"/>
        <v>0</v>
      </c>
      <c r="L141" s="5"/>
      <c r="Y141" s="37">
        <f t="shared" si="78"/>
        <v>0</v>
      </c>
      <c r="AA141" s="37">
        <f t="shared" si="79"/>
        <v>0</v>
      </c>
      <c r="AB141" s="37">
        <f t="shared" si="80"/>
        <v>0</v>
      </c>
      <c r="AC141" s="37">
        <f t="shared" si="81"/>
        <v>0</v>
      </c>
      <c r="AD141" s="37">
        <f t="shared" si="82"/>
        <v>0</v>
      </c>
      <c r="AE141" s="37">
        <f t="shared" si="83"/>
        <v>0</v>
      </c>
      <c r="AF141" s="37">
        <f t="shared" si="84"/>
        <v>0</v>
      </c>
      <c r="AG141" s="37">
        <f t="shared" si="85"/>
        <v>0</v>
      </c>
      <c r="AH141" s="36"/>
      <c r="AI141" s="23">
        <f>IF(AM141=0,K141,0)</f>
        <v>0</v>
      </c>
      <c r="AJ141" s="23">
        <f>IF(AM141=15,K141,0)</f>
        <v>0</v>
      </c>
      <c r="AK141" s="23">
        <f>IF(AM141=21,K141,0)</f>
        <v>0</v>
      </c>
      <c r="AM141" s="37">
        <v>21</v>
      </c>
      <c r="AN141" s="37">
        <f>H141*1</f>
        <v>0</v>
      </c>
      <c r="AO141" s="37">
        <f>H141*(1-1)</f>
        <v>0</v>
      </c>
      <c r="AP141" s="39" t="s">
        <v>13</v>
      </c>
      <c r="AU141" s="37">
        <f t="shared" si="86"/>
        <v>0</v>
      </c>
      <c r="AV141" s="37">
        <f>G141*AN141</f>
        <v>0</v>
      </c>
      <c r="AW141" s="37">
        <f>G141*AO141</f>
        <v>0</v>
      </c>
      <c r="AX141" s="40" t="s">
        <v>1072</v>
      </c>
      <c r="AY141" s="40" t="s">
        <v>1116</v>
      </c>
      <c r="AZ141" s="36" t="s">
        <v>1122</v>
      </c>
      <c r="BB141" s="37">
        <f t="shared" si="87"/>
        <v>0</v>
      </c>
      <c r="BC141" s="37">
        <f>H141/(100-BD141)*100</f>
        <v>0</v>
      </c>
      <c r="BD141" s="37">
        <v>0</v>
      </c>
      <c r="BE141" s="37">
        <f>141</f>
        <v>141</v>
      </c>
      <c r="BG141" s="23">
        <f>G141*AN141</f>
        <v>0</v>
      </c>
      <c r="BH141" s="23">
        <f>G141*AO141</f>
        <v>0</v>
      </c>
      <c r="BI141" s="23">
        <f>G141*H141</f>
        <v>0</v>
      </c>
      <c r="BJ141" s="23" t="s">
        <v>1128</v>
      </c>
      <c r="BK141" s="37">
        <v>731</v>
      </c>
    </row>
    <row r="142" spans="1:63" x14ac:dyDescent="0.25">
      <c r="A142" s="4" t="s">
        <v>95</v>
      </c>
      <c r="B142" s="14" t="s">
        <v>394</v>
      </c>
      <c r="C142" s="117" t="s">
        <v>751</v>
      </c>
      <c r="D142" s="118"/>
      <c r="E142" s="118"/>
      <c r="F142" s="14" t="s">
        <v>1024</v>
      </c>
      <c r="G142" s="21">
        <v>2</v>
      </c>
      <c r="H142" s="21">
        <v>0</v>
      </c>
      <c r="I142" s="21">
        <f>G142*AN142</f>
        <v>0</v>
      </c>
      <c r="J142" s="21">
        <f>G142*AO142</f>
        <v>0</v>
      </c>
      <c r="K142" s="21">
        <f t="shared" si="77"/>
        <v>0</v>
      </c>
      <c r="L142" s="5"/>
      <c r="Y142" s="37">
        <f t="shared" si="78"/>
        <v>0</v>
      </c>
      <c r="AA142" s="37">
        <f t="shared" si="79"/>
        <v>0</v>
      </c>
      <c r="AB142" s="37">
        <f t="shared" si="80"/>
        <v>0</v>
      </c>
      <c r="AC142" s="37">
        <f t="shared" si="81"/>
        <v>0</v>
      </c>
      <c r="AD142" s="37">
        <f t="shared" si="82"/>
        <v>0</v>
      </c>
      <c r="AE142" s="37">
        <f t="shared" si="83"/>
        <v>0</v>
      </c>
      <c r="AF142" s="37">
        <f t="shared" si="84"/>
        <v>0</v>
      </c>
      <c r="AG142" s="37">
        <f t="shared" si="85"/>
        <v>0</v>
      </c>
      <c r="AH142" s="36"/>
      <c r="AI142" s="21">
        <f>IF(AM142=0,K142,0)</f>
        <v>0</v>
      </c>
      <c r="AJ142" s="21">
        <f>IF(AM142=15,K142,0)</f>
        <v>0</v>
      </c>
      <c r="AK142" s="21">
        <f>IF(AM142=21,K142,0)</f>
        <v>0</v>
      </c>
      <c r="AM142" s="37">
        <v>21</v>
      </c>
      <c r="AN142" s="37">
        <f>H142*0</f>
        <v>0</v>
      </c>
      <c r="AO142" s="37">
        <f>H142*(1-0)</f>
        <v>0</v>
      </c>
      <c r="AP142" s="38" t="s">
        <v>13</v>
      </c>
      <c r="AU142" s="37">
        <f t="shared" si="86"/>
        <v>0</v>
      </c>
      <c r="AV142" s="37">
        <f>G142*AN142</f>
        <v>0</v>
      </c>
      <c r="AW142" s="37">
        <f>G142*AO142</f>
        <v>0</v>
      </c>
      <c r="AX142" s="40" t="s">
        <v>1072</v>
      </c>
      <c r="AY142" s="40" t="s">
        <v>1116</v>
      </c>
      <c r="AZ142" s="36" t="s">
        <v>1122</v>
      </c>
      <c r="BB142" s="37">
        <f t="shared" si="87"/>
        <v>0</v>
      </c>
      <c r="BC142" s="37">
        <f>H142/(100-BD142)*100</f>
        <v>0</v>
      </c>
      <c r="BD142" s="37">
        <v>0</v>
      </c>
      <c r="BE142" s="37">
        <f>142</f>
        <v>142</v>
      </c>
      <c r="BG142" s="21">
        <f>G142*AN142</f>
        <v>0</v>
      </c>
      <c r="BH142" s="21">
        <f>G142*AO142</f>
        <v>0</v>
      </c>
      <c r="BI142" s="21">
        <f>G142*H142</f>
        <v>0</v>
      </c>
      <c r="BJ142" s="21" t="s">
        <v>1127</v>
      </c>
      <c r="BK142" s="37">
        <v>731</v>
      </c>
    </row>
    <row r="143" spans="1:63" x14ac:dyDescent="0.25">
      <c r="A143" s="7" t="s">
        <v>96</v>
      </c>
      <c r="B143" s="16" t="s">
        <v>395</v>
      </c>
      <c r="C143" s="123" t="s">
        <v>752</v>
      </c>
      <c r="D143" s="124"/>
      <c r="E143" s="124"/>
      <c r="F143" s="16" t="s">
        <v>1024</v>
      </c>
      <c r="G143" s="23">
        <v>2</v>
      </c>
      <c r="H143" s="23">
        <v>0</v>
      </c>
      <c r="I143" s="23">
        <f>G143*AN143</f>
        <v>0</v>
      </c>
      <c r="J143" s="23">
        <f>G143*AO143</f>
        <v>0</v>
      </c>
      <c r="K143" s="23">
        <f t="shared" si="77"/>
        <v>0</v>
      </c>
      <c r="L143" s="5"/>
      <c r="Y143" s="37">
        <f t="shared" si="78"/>
        <v>0</v>
      </c>
      <c r="AA143" s="37">
        <f t="shared" si="79"/>
        <v>0</v>
      </c>
      <c r="AB143" s="37">
        <f t="shared" si="80"/>
        <v>0</v>
      </c>
      <c r="AC143" s="37">
        <f t="shared" si="81"/>
        <v>0</v>
      </c>
      <c r="AD143" s="37">
        <f t="shared" si="82"/>
        <v>0</v>
      </c>
      <c r="AE143" s="37">
        <f t="shared" si="83"/>
        <v>0</v>
      </c>
      <c r="AF143" s="37">
        <f t="shared" si="84"/>
        <v>0</v>
      </c>
      <c r="AG143" s="37">
        <f t="shared" si="85"/>
        <v>0</v>
      </c>
      <c r="AH143" s="36"/>
      <c r="AI143" s="23">
        <f>IF(AM143=0,K143,0)</f>
        <v>0</v>
      </c>
      <c r="AJ143" s="23">
        <f>IF(AM143=15,K143,0)</f>
        <v>0</v>
      </c>
      <c r="AK143" s="23">
        <f>IF(AM143=21,K143,0)</f>
        <v>0</v>
      </c>
      <c r="AM143" s="37">
        <v>21</v>
      </c>
      <c r="AN143" s="37">
        <f>H143*1</f>
        <v>0</v>
      </c>
      <c r="AO143" s="37">
        <f>H143*(1-1)</f>
        <v>0</v>
      </c>
      <c r="AP143" s="39" t="s">
        <v>13</v>
      </c>
      <c r="AU143" s="37">
        <f t="shared" si="86"/>
        <v>0</v>
      </c>
      <c r="AV143" s="37">
        <f>G143*AN143</f>
        <v>0</v>
      </c>
      <c r="AW143" s="37">
        <f>G143*AO143</f>
        <v>0</v>
      </c>
      <c r="AX143" s="40" t="s">
        <v>1072</v>
      </c>
      <c r="AY143" s="40" t="s">
        <v>1116</v>
      </c>
      <c r="AZ143" s="36" t="s">
        <v>1122</v>
      </c>
      <c r="BB143" s="37">
        <f t="shared" si="87"/>
        <v>0</v>
      </c>
      <c r="BC143" s="37">
        <f>H143/(100-BD143)*100</f>
        <v>0</v>
      </c>
      <c r="BD143" s="37">
        <v>0</v>
      </c>
      <c r="BE143" s="37">
        <f>143</f>
        <v>143</v>
      </c>
      <c r="BG143" s="23">
        <f>G143*AN143</f>
        <v>0</v>
      </c>
      <c r="BH143" s="23">
        <f>G143*AO143</f>
        <v>0</v>
      </c>
      <c r="BI143" s="23">
        <f>G143*H143</f>
        <v>0</v>
      </c>
      <c r="BJ143" s="23" t="s">
        <v>1128</v>
      </c>
      <c r="BK143" s="37">
        <v>731</v>
      </c>
    </row>
    <row r="144" spans="1:63" x14ac:dyDescent="0.25">
      <c r="A144" s="7" t="s">
        <v>97</v>
      </c>
      <c r="B144" s="16" t="s">
        <v>395</v>
      </c>
      <c r="C144" s="123" t="s">
        <v>753</v>
      </c>
      <c r="D144" s="124"/>
      <c r="E144" s="124"/>
      <c r="F144" s="16" t="s">
        <v>1024</v>
      </c>
      <c r="G144" s="23">
        <v>2</v>
      </c>
      <c r="H144" s="23">
        <v>0</v>
      </c>
      <c r="I144" s="23">
        <f>G144*AN144</f>
        <v>0</v>
      </c>
      <c r="J144" s="23">
        <f>G144*AO144</f>
        <v>0</v>
      </c>
      <c r="K144" s="23">
        <f t="shared" si="77"/>
        <v>0</v>
      </c>
      <c r="L144" s="5"/>
      <c r="Y144" s="37">
        <f t="shared" si="78"/>
        <v>0</v>
      </c>
      <c r="AA144" s="37">
        <f t="shared" si="79"/>
        <v>0</v>
      </c>
      <c r="AB144" s="37">
        <f t="shared" si="80"/>
        <v>0</v>
      </c>
      <c r="AC144" s="37">
        <f t="shared" si="81"/>
        <v>0</v>
      </c>
      <c r="AD144" s="37">
        <f t="shared" si="82"/>
        <v>0</v>
      </c>
      <c r="AE144" s="37">
        <f t="shared" si="83"/>
        <v>0</v>
      </c>
      <c r="AF144" s="37">
        <f t="shared" si="84"/>
        <v>0</v>
      </c>
      <c r="AG144" s="37">
        <f t="shared" si="85"/>
        <v>0</v>
      </c>
      <c r="AH144" s="36"/>
      <c r="AI144" s="23">
        <f>IF(AM144=0,K144,0)</f>
        <v>0</v>
      </c>
      <c r="AJ144" s="23">
        <f>IF(AM144=15,K144,0)</f>
        <v>0</v>
      </c>
      <c r="AK144" s="23">
        <f>IF(AM144=21,K144,0)</f>
        <v>0</v>
      </c>
      <c r="AM144" s="37">
        <v>21</v>
      </c>
      <c r="AN144" s="37">
        <f>H144*1</f>
        <v>0</v>
      </c>
      <c r="AO144" s="37">
        <f>H144*(1-1)</f>
        <v>0</v>
      </c>
      <c r="AP144" s="39" t="s">
        <v>13</v>
      </c>
      <c r="AU144" s="37">
        <f t="shared" si="86"/>
        <v>0</v>
      </c>
      <c r="AV144" s="37">
        <f>G144*AN144</f>
        <v>0</v>
      </c>
      <c r="AW144" s="37">
        <f>G144*AO144</f>
        <v>0</v>
      </c>
      <c r="AX144" s="40" t="s">
        <v>1072</v>
      </c>
      <c r="AY144" s="40" t="s">
        <v>1116</v>
      </c>
      <c r="AZ144" s="36" t="s">
        <v>1122</v>
      </c>
      <c r="BB144" s="37">
        <f t="shared" si="87"/>
        <v>0</v>
      </c>
      <c r="BC144" s="37">
        <f>H144/(100-BD144)*100</f>
        <v>0</v>
      </c>
      <c r="BD144" s="37">
        <v>0</v>
      </c>
      <c r="BE144" s="37">
        <f>144</f>
        <v>144</v>
      </c>
      <c r="BG144" s="23">
        <f>G144*AN144</f>
        <v>0</v>
      </c>
      <c r="BH144" s="23">
        <f>G144*AO144</f>
        <v>0</v>
      </c>
      <c r="BI144" s="23">
        <f>G144*H144</f>
        <v>0</v>
      </c>
      <c r="BJ144" s="23" t="s">
        <v>1128</v>
      </c>
      <c r="BK144" s="37">
        <v>731</v>
      </c>
    </row>
    <row r="145" spans="1:63" x14ac:dyDescent="0.25">
      <c r="A145" s="7" t="s">
        <v>98</v>
      </c>
      <c r="B145" s="16" t="s">
        <v>396</v>
      </c>
      <c r="C145" s="123" t="s">
        <v>754</v>
      </c>
      <c r="D145" s="124"/>
      <c r="E145" s="124"/>
      <c r="F145" s="16" t="s">
        <v>1024</v>
      </c>
      <c r="G145" s="23">
        <v>20</v>
      </c>
      <c r="H145" s="23">
        <v>0</v>
      </c>
      <c r="I145" s="23">
        <f>G145*AN145</f>
        <v>0</v>
      </c>
      <c r="J145" s="23">
        <f>G145*AO145</f>
        <v>0</v>
      </c>
      <c r="K145" s="23">
        <f t="shared" si="77"/>
        <v>0</v>
      </c>
      <c r="L145" s="5"/>
      <c r="Y145" s="37">
        <f t="shared" si="78"/>
        <v>0</v>
      </c>
      <c r="AA145" s="37">
        <f t="shared" si="79"/>
        <v>0</v>
      </c>
      <c r="AB145" s="37">
        <f t="shared" si="80"/>
        <v>0</v>
      </c>
      <c r="AC145" s="37">
        <f t="shared" si="81"/>
        <v>0</v>
      </c>
      <c r="AD145" s="37">
        <f t="shared" si="82"/>
        <v>0</v>
      </c>
      <c r="AE145" s="37">
        <f t="shared" si="83"/>
        <v>0</v>
      </c>
      <c r="AF145" s="37">
        <f t="shared" si="84"/>
        <v>0</v>
      </c>
      <c r="AG145" s="37">
        <f t="shared" si="85"/>
        <v>0</v>
      </c>
      <c r="AH145" s="36"/>
      <c r="AI145" s="23">
        <f>IF(AM145=0,K145,0)</f>
        <v>0</v>
      </c>
      <c r="AJ145" s="23">
        <f>IF(AM145=15,K145,0)</f>
        <v>0</v>
      </c>
      <c r="AK145" s="23">
        <f>IF(AM145=21,K145,0)</f>
        <v>0</v>
      </c>
      <c r="AM145" s="37">
        <v>21</v>
      </c>
      <c r="AN145" s="37">
        <f>H145*1</f>
        <v>0</v>
      </c>
      <c r="AO145" s="37">
        <f>H145*(1-1)</f>
        <v>0</v>
      </c>
      <c r="AP145" s="39" t="s">
        <v>13</v>
      </c>
      <c r="AU145" s="37">
        <f t="shared" si="86"/>
        <v>0</v>
      </c>
      <c r="AV145" s="37">
        <f>G145*AN145</f>
        <v>0</v>
      </c>
      <c r="AW145" s="37">
        <f>G145*AO145</f>
        <v>0</v>
      </c>
      <c r="AX145" s="40" t="s">
        <v>1072</v>
      </c>
      <c r="AY145" s="40" t="s">
        <v>1116</v>
      </c>
      <c r="AZ145" s="36" t="s">
        <v>1122</v>
      </c>
      <c r="BB145" s="37">
        <f t="shared" si="87"/>
        <v>0</v>
      </c>
      <c r="BC145" s="37">
        <f>H145/(100-BD145)*100</f>
        <v>0</v>
      </c>
      <c r="BD145" s="37">
        <v>0</v>
      </c>
      <c r="BE145" s="37">
        <f>145</f>
        <v>145</v>
      </c>
      <c r="BG145" s="23">
        <f>G145*AN145</f>
        <v>0</v>
      </c>
      <c r="BH145" s="23">
        <f>G145*AO145</f>
        <v>0</v>
      </c>
      <c r="BI145" s="23">
        <f>G145*H145</f>
        <v>0</v>
      </c>
      <c r="BJ145" s="23" t="s">
        <v>1128</v>
      </c>
      <c r="BK145" s="37">
        <v>731</v>
      </c>
    </row>
    <row r="146" spans="1:63" x14ac:dyDescent="0.25">
      <c r="A146" s="7" t="s">
        <v>99</v>
      </c>
      <c r="B146" s="16" t="s">
        <v>397</v>
      </c>
      <c r="C146" s="123" t="s">
        <v>755</v>
      </c>
      <c r="D146" s="124"/>
      <c r="E146" s="124"/>
      <c r="F146" s="16" t="s">
        <v>1024</v>
      </c>
      <c r="G146" s="23">
        <v>1</v>
      </c>
      <c r="H146" s="23">
        <v>0</v>
      </c>
      <c r="I146" s="23">
        <f>G146*AN146</f>
        <v>0</v>
      </c>
      <c r="J146" s="23">
        <f>G146*AO146</f>
        <v>0</v>
      </c>
      <c r="K146" s="23">
        <f t="shared" si="77"/>
        <v>0</v>
      </c>
      <c r="L146" s="5"/>
      <c r="Y146" s="37">
        <f t="shared" si="78"/>
        <v>0</v>
      </c>
      <c r="AA146" s="37">
        <f t="shared" si="79"/>
        <v>0</v>
      </c>
      <c r="AB146" s="37">
        <f t="shared" si="80"/>
        <v>0</v>
      </c>
      <c r="AC146" s="37">
        <f t="shared" si="81"/>
        <v>0</v>
      </c>
      <c r="AD146" s="37">
        <f t="shared" si="82"/>
        <v>0</v>
      </c>
      <c r="AE146" s="37">
        <f t="shared" si="83"/>
        <v>0</v>
      </c>
      <c r="AF146" s="37">
        <f t="shared" si="84"/>
        <v>0</v>
      </c>
      <c r="AG146" s="37">
        <f t="shared" si="85"/>
        <v>0</v>
      </c>
      <c r="AH146" s="36"/>
      <c r="AI146" s="23">
        <f>IF(AM146=0,K146,0)</f>
        <v>0</v>
      </c>
      <c r="AJ146" s="23">
        <f>IF(AM146=15,K146,0)</f>
        <v>0</v>
      </c>
      <c r="AK146" s="23">
        <f>IF(AM146=21,K146,0)</f>
        <v>0</v>
      </c>
      <c r="AM146" s="37">
        <v>21</v>
      </c>
      <c r="AN146" s="37">
        <f>H146*1</f>
        <v>0</v>
      </c>
      <c r="AO146" s="37">
        <f>H146*(1-1)</f>
        <v>0</v>
      </c>
      <c r="AP146" s="39" t="s">
        <v>13</v>
      </c>
      <c r="AU146" s="37">
        <f t="shared" si="86"/>
        <v>0</v>
      </c>
      <c r="AV146" s="37">
        <f>G146*AN146</f>
        <v>0</v>
      </c>
      <c r="AW146" s="37">
        <f>G146*AO146</f>
        <v>0</v>
      </c>
      <c r="AX146" s="40" t="s">
        <v>1072</v>
      </c>
      <c r="AY146" s="40" t="s">
        <v>1116</v>
      </c>
      <c r="AZ146" s="36" t="s">
        <v>1122</v>
      </c>
      <c r="BB146" s="37">
        <f t="shared" si="87"/>
        <v>0</v>
      </c>
      <c r="BC146" s="37">
        <f>H146/(100-BD146)*100</f>
        <v>0</v>
      </c>
      <c r="BD146" s="37">
        <v>0</v>
      </c>
      <c r="BE146" s="37">
        <f>146</f>
        <v>146</v>
      </c>
      <c r="BG146" s="23">
        <f>G146*AN146</f>
        <v>0</v>
      </c>
      <c r="BH146" s="23">
        <f>G146*AO146</f>
        <v>0</v>
      </c>
      <c r="BI146" s="23">
        <f>G146*H146</f>
        <v>0</v>
      </c>
      <c r="BJ146" s="23" t="s">
        <v>1128</v>
      </c>
      <c r="BK146" s="37">
        <v>731</v>
      </c>
    </row>
    <row r="147" spans="1:63" x14ac:dyDescent="0.25">
      <c r="A147" s="7" t="s">
        <v>100</v>
      </c>
      <c r="B147" s="16" t="s">
        <v>398</v>
      </c>
      <c r="C147" s="123" t="s">
        <v>756</v>
      </c>
      <c r="D147" s="124"/>
      <c r="E147" s="124"/>
      <c r="F147" s="16" t="s">
        <v>1024</v>
      </c>
      <c r="G147" s="23">
        <v>4</v>
      </c>
      <c r="H147" s="23">
        <v>0</v>
      </c>
      <c r="I147" s="23">
        <f>G147*AN147</f>
        <v>0</v>
      </c>
      <c r="J147" s="23">
        <f>G147*AO147</f>
        <v>0</v>
      </c>
      <c r="K147" s="23">
        <f t="shared" si="77"/>
        <v>0</v>
      </c>
      <c r="L147" s="5"/>
      <c r="Y147" s="37">
        <f t="shared" si="78"/>
        <v>0</v>
      </c>
      <c r="AA147" s="37">
        <f t="shared" si="79"/>
        <v>0</v>
      </c>
      <c r="AB147" s="37">
        <f t="shared" si="80"/>
        <v>0</v>
      </c>
      <c r="AC147" s="37">
        <f t="shared" si="81"/>
        <v>0</v>
      </c>
      <c r="AD147" s="37">
        <f t="shared" si="82"/>
        <v>0</v>
      </c>
      <c r="AE147" s="37">
        <f t="shared" si="83"/>
        <v>0</v>
      </c>
      <c r="AF147" s="37">
        <f t="shared" si="84"/>
        <v>0</v>
      </c>
      <c r="AG147" s="37">
        <f t="shared" si="85"/>
        <v>0</v>
      </c>
      <c r="AH147" s="36"/>
      <c r="AI147" s="23">
        <f>IF(AM147=0,K147,0)</f>
        <v>0</v>
      </c>
      <c r="AJ147" s="23">
        <f>IF(AM147=15,K147,0)</f>
        <v>0</v>
      </c>
      <c r="AK147" s="23">
        <f>IF(AM147=21,K147,0)</f>
        <v>0</v>
      </c>
      <c r="AM147" s="37">
        <v>21</v>
      </c>
      <c r="AN147" s="37">
        <f>H147*1</f>
        <v>0</v>
      </c>
      <c r="AO147" s="37">
        <f>H147*(1-1)</f>
        <v>0</v>
      </c>
      <c r="AP147" s="39" t="s">
        <v>13</v>
      </c>
      <c r="AU147" s="37">
        <f t="shared" si="86"/>
        <v>0</v>
      </c>
      <c r="AV147" s="37">
        <f>G147*AN147</f>
        <v>0</v>
      </c>
      <c r="AW147" s="37">
        <f>G147*AO147</f>
        <v>0</v>
      </c>
      <c r="AX147" s="40" t="s">
        <v>1072</v>
      </c>
      <c r="AY147" s="40" t="s">
        <v>1116</v>
      </c>
      <c r="AZ147" s="36" t="s">
        <v>1122</v>
      </c>
      <c r="BB147" s="37">
        <f t="shared" si="87"/>
        <v>0</v>
      </c>
      <c r="BC147" s="37">
        <f>H147/(100-BD147)*100</f>
        <v>0</v>
      </c>
      <c r="BD147" s="37">
        <v>0</v>
      </c>
      <c r="BE147" s="37">
        <f>147</f>
        <v>147</v>
      </c>
      <c r="BG147" s="23">
        <f>G147*AN147</f>
        <v>0</v>
      </c>
      <c r="BH147" s="23">
        <f>G147*AO147</f>
        <v>0</v>
      </c>
      <c r="BI147" s="23">
        <f>G147*H147</f>
        <v>0</v>
      </c>
      <c r="BJ147" s="23" t="s">
        <v>1128</v>
      </c>
      <c r="BK147" s="37">
        <v>731</v>
      </c>
    </row>
    <row r="148" spans="1:63" x14ac:dyDescent="0.25">
      <c r="A148" s="7" t="s">
        <v>101</v>
      </c>
      <c r="B148" s="16" t="s">
        <v>399</v>
      </c>
      <c r="C148" s="123" t="s">
        <v>757</v>
      </c>
      <c r="D148" s="124"/>
      <c r="E148" s="124"/>
      <c r="F148" s="16" t="s">
        <v>1024</v>
      </c>
      <c r="G148" s="23">
        <v>1</v>
      </c>
      <c r="H148" s="23">
        <v>0</v>
      </c>
      <c r="I148" s="23">
        <f>G148*AN148</f>
        <v>0</v>
      </c>
      <c r="J148" s="23">
        <f>G148*AO148</f>
        <v>0</v>
      </c>
      <c r="K148" s="23">
        <f t="shared" si="77"/>
        <v>0</v>
      </c>
      <c r="L148" s="5"/>
      <c r="Y148" s="37">
        <f t="shared" si="78"/>
        <v>0</v>
      </c>
      <c r="AA148" s="37">
        <f t="shared" si="79"/>
        <v>0</v>
      </c>
      <c r="AB148" s="37">
        <f t="shared" si="80"/>
        <v>0</v>
      </c>
      <c r="AC148" s="37">
        <f t="shared" si="81"/>
        <v>0</v>
      </c>
      <c r="AD148" s="37">
        <f t="shared" si="82"/>
        <v>0</v>
      </c>
      <c r="AE148" s="37">
        <f t="shared" si="83"/>
        <v>0</v>
      </c>
      <c r="AF148" s="37">
        <f t="shared" si="84"/>
        <v>0</v>
      </c>
      <c r="AG148" s="37">
        <f t="shared" si="85"/>
        <v>0</v>
      </c>
      <c r="AH148" s="36"/>
      <c r="AI148" s="23">
        <f>IF(AM148=0,K148,0)</f>
        <v>0</v>
      </c>
      <c r="AJ148" s="23">
        <f>IF(AM148=15,K148,0)</f>
        <v>0</v>
      </c>
      <c r="AK148" s="23">
        <f>IF(AM148=21,K148,0)</f>
        <v>0</v>
      </c>
      <c r="AM148" s="37">
        <v>21</v>
      </c>
      <c r="AN148" s="37">
        <f>H148*1</f>
        <v>0</v>
      </c>
      <c r="AO148" s="37">
        <f>H148*(1-1)</f>
        <v>0</v>
      </c>
      <c r="AP148" s="39" t="s">
        <v>13</v>
      </c>
      <c r="AU148" s="37">
        <f t="shared" si="86"/>
        <v>0</v>
      </c>
      <c r="AV148" s="37">
        <f>G148*AN148</f>
        <v>0</v>
      </c>
      <c r="AW148" s="37">
        <f>G148*AO148</f>
        <v>0</v>
      </c>
      <c r="AX148" s="40" t="s">
        <v>1072</v>
      </c>
      <c r="AY148" s="40" t="s">
        <v>1116</v>
      </c>
      <c r="AZ148" s="36" t="s">
        <v>1122</v>
      </c>
      <c r="BB148" s="37">
        <f t="shared" si="87"/>
        <v>0</v>
      </c>
      <c r="BC148" s="37">
        <f>H148/(100-BD148)*100</f>
        <v>0</v>
      </c>
      <c r="BD148" s="37">
        <v>0</v>
      </c>
      <c r="BE148" s="37">
        <f>148</f>
        <v>148</v>
      </c>
      <c r="BG148" s="23">
        <f>G148*AN148</f>
        <v>0</v>
      </c>
      <c r="BH148" s="23">
        <f>G148*AO148</f>
        <v>0</v>
      </c>
      <c r="BI148" s="23">
        <f>G148*H148</f>
        <v>0</v>
      </c>
      <c r="BJ148" s="23" t="s">
        <v>1128</v>
      </c>
      <c r="BK148" s="37">
        <v>731</v>
      </c>
    </row>
    <row r="149" spans="1:63" x14ac:dyDescent="0.25">
      <c r="A149" s="7" t="s">
        <v>102</v>
      </c>
      <c r="B149" s="16" t="s">
        <v>400</v>
      </c>
      <c r="C149" s="123" t="s">
        <v>758</v>
      </c>
      <c r="D149" s="124"/>
      <c r="E149" s="124"/>
      <c r="F149" s="16" t="s">
        <v>1024</v>
      </c>
      <c r="G149" s="23">
        <v>2</v>
      </c>
      <c r="H149" s="23">
        <v>0</v>
      </c>
      <c r="I149" s="23">
        <f>G149*AN149</f>
        <v>0</v>
      </c>
      <c r="J149" s="23">
        <f>G149*AO149</f>
        <v>0</v>
      </c>
      <c r="K149" s="23">
        <f t="shared" si="77"/>
        <v>0</v>
      </c>
      <c r="L149" s="5"/>
      <c r="Y149" s="37">
        <f t="shared" si="78"/>
        <v>0</v>
      </c>
      <c r="AA149" s="37">
        <f t="shared" si="79"/>
        <v>0</v>
      </c>
      <c r="AB149" s="37">
        <f t="shared" si="80"/>
        <v>0</v>
      </c>
      <c r="AC149" s="37">
        <f t="shared" si="81"/>
        <v>0</v>
      </c>
      <c r="AD149" s="37">
        <f t="shared" si="82"/>
        <v>0</v>
      </c>
      <c r="AE149" s="37">
        <f t="shared" si="83"/>
        <v>0</v>
      </c>
      <c r="AF149" s="37">
        <f t="shared" si="84"/>
        <v>0</v>
      </c>
      <c r="AG149" s="37">
        <f t="shared" si="85"/>
        <v>0</v>
      </c>
      <c r="AH149" s="36"/>
      <c r="AI149" s="23">
        <f>IF(AM149=0,K149,0)</f>
        <v>0</v>
      </c>
      <c r="AJ149" s="23">
        <f>IF(AM149=15,K149,0)</f>
        <v>0</v>
      </c>
      <c r="AK149" s="23">
        <f>IF(AM149=21,K149,0)</f>
        <v>0</v>
      </c>
      <c r="AM149" s="37">
        <v>21</v>
      </c>
      <c r="AN149" s="37">
        <f>H149*1</f>
        <v>0</v>
      </c>
      <c r="AO149" s="37">
        <f>H149*(1-1)</f>
        <v>0</v>
      </c>
      <c r="AP149" s="39" t="s">
        <v>13</v>
      </c>
      <c r="AU149" s="37">
        <f t="shared" si="86"/>
        <v>0</v>
      </c>
      <c r="AV149" s="37">
        <f>G149*AN149</f>
        <v>0</v>
      </c>
      <c r="AW149" s="37">
        <f>G149*AO149</f>
        <v>0</v>
      </c>
      <c r="AX149" s="40" t="s">
        <v>1072</v>
      </c>
      <c r="AY149" s="40" t="s">
        <v>1116</v>
      </c>
      <c r="AZ149" s="36" t="s">
        <v>1122</v>
      </c>
      <c r="BB149" s="37">
        <f t="shared" si="87"/>
        <v>0</v>
      </c>
      <c r="BC149" s="37">
        <f>H149/(100-BD149)*100</f>
        <v>0</v>
      </c>
      <c r="BD149" s="37">
        <v>0</v>
      </c>
      <c r="BE149" s="37">
        <f>149</f>
        <v>149</v>
      </c>
      <c r="BG149" s="23">
        <f>G149*AN149</f>
        <v>0</v>
      </c>
      <c r="BH149" s="23">
        <f>G149*AO149</f>
        <v>0</v>
      </c>
      <c r="BI149" s="23">
        <f>G149*H149</f>
        <v>0</v>
      </c>
      <c r="BJ149" s="23" t="s">
        <v>1128</v>
      </c>
      <c r="BK149" s="37">
        <v>731</v>
      </c>
    </row>
    <row r="150" spans="1:63" x14ac:dyDescent="0.25">
      <c r="A150" s="7" t="s">
        <v>103</v>
      </c>
      <c r="B150" s="16" t="s">
        <v>401</v>
      </c>
      <c r="C150" s="123" t="s">
        <v>759</v>
      </c>
      <c r="D150" s="124"/>
      <c r="E150" s="124"/>
      <c r="F150" s="16" t="s">
        <v>1024</v>
      </c>
      <c r="G150" s="23">
        <v>2</v>
      </c>
      <c r="H150" s="23">
        <v>0</v>
      </c>
      <c r="I150" s="23">
        <f>G150*AN150</f>
        <v>0</v>
      </c>
      <c r="J150" s="23">
        <f>G150*AO150</f>
        <v>0</v>
      </c>
      <c r="K150" s="23">
        <f t="shared" si="77"/>
        <v>0</v>
      </c>
      <c r="L150" s="5"/>
      <c r="Y150" s="37">
        <f t="shared" si="78"/>
        <v>0</v>
      </c>
      <c r="AA150" s="37">
        <f t="shared" si="79"/>
        <v>0</v>
      </c>
      <c r="AB150" s="37">
        <f t="shared" si="80"/>
        <v>0</v>
      </c>
      <c r="AC150" s="37">
        <f t="shared" si="81"/>
        <v>0</v>
      </c>
      <c r="AD150" s="37">
        <f t="shared" si="82"/>
        <v>0</v>
      </c>
      <c r="AE150" s="37">
        <f t="shared" si="83"/>
        <v>0</v>
      </c>
      <c r="AF150" s="37">
        <f t="shared" si="84"/>
        <v>0</v>
      </c>
      <c r="AG150" s="37">
        <f t="shared" si="85"/>
        <v>0</v>
      </c>
      <c r="AH150" s="36"/>
      <c r="AI150" s="23">
        <f>IF(AM150=0,K150,0)</f>
        <v>0</v>
      </c>
      <c r="AJ150" s="23">
        <f>IF(AM150=15,K150,0)</f>
        <v>0</v>
      </c>
      <c r="AK150" s="23">
        <f>IF(AM150=21,K150,0)</f>
        <v>0</v>
      </c>
      <c r="AM150" s="37">
        <v>21</v>
      </c>
      <c r="AN150" s="37">
        <f>H150*1</f>
        <v>0</v>
      </c>
      <c r="AO150" s="37">
        <f>H150*(1-1)</f>
        <v>0</v>
      </c>
      <c r="AP150" s="39" t="s">
        <v>13</v>
      </c>
      <c r="AU150" s="37">
        <f t="shared" si="86"/>
        <v>0</v>
      </c>
      <c r="AV150" s="37">
        <f>G150*AN150</f>
        <v>0</v>
      </c>
      <c r="AW150" s="37">
        <f>G150*AO150</f>
        <v>0</v>
      </c>
      <c r="AX150" s="40" t="s">
        <v>1072</v>
      </c>
      <c r="AY150" s="40" t="s">
        <v>1116</v>
      </c>
      <c r="AZ150" s="36" t="s">
        <v>1122</v>
      </c>
      <c r="BB150" s="37">
        <f t="shared" si="87"/>
        <v>0</v>
      </c>
      <c r="BC150" s="37">
        <f>H150/(100-BD150)*100</f>
        <v>0</v>
      </c>
      <c r="BD150" s="37">
        <v>0</v>
      </c>
      <c r="BE150" s="37">
        <f>150</f>
        <v>150</v>
      </c>
      <c r="BG150" s="23">
        <f>G150*AN150</f>
        <v>0</v>
      </c>
      <c r="BH150" s="23">
        <f>G150*AO150</f>
        <v>0</v>
      </c>
      <c r="BI150" s="23">
        <f>G150*H150</f>
        <v>0</v>
      </c>
      <c r="BJ150" s="23" t="s">
        <v>1128</v>
      </c>
      <c r="BK150" s="37">
        <v>731</v>
      </c>
    </row>
    <row r="151" spans="1:63" x14ac:dyDescent="0.25">
      <c r="A151" s="7" t="s">
        <v>104</v>
      </c>
      <c r="B151" s="16" t="s">
        <v>397</v>
      </c>
      <c r="C151" s="123" t="s">
        <v>760</v>
      </c>
      <c r="D151" s="124"/>
      <c r="E151" s="124"/>
      <c r="F151" s="16" t="s">
        <v>1024</v>
      </c>
      <c r="G151" s="23">
        <v>2</v>
      </c>
      <c r="H151" s="23">
        <v>0</v>
      </c>
      <c r="I151" s="23">
        <f>G151*AN151</f>
        <v>0</v>
      </c>
      <c r="J151" s="23">
        <f>G151*AO151</f>
        <v>0</v>
      </c>
      <c r="K151" s="23">
        <f t="shared" si="77"/>
        <v>0</v>
      </c>
      <c r="L151" s="5"/>
      <c r="Y151" s="37">
        <f t="shared" si="78"/>
        <v>0</v>
      </c>
      <c r="AA151" s="37">
        <f t="shared" si="79"/>
        <v>0</v>
      </c>
      <c r="AB151" s="37">
        <f t="shared" si="80"/>
        <v>0</v>
      </c>
      <c r="AC151" s="37">
        <f t="shared" si="81"/>
        <v>0</v>
      </c>
      <c r="AD151" s="37">
        <f t="shared" si="82"/>
        <v>0</v>
      </c>
      <c r="AE151" s="37">
        <f t="shared" si="83"/>
        <v>0</v>
      </c>
      <c r="AF151" s="37">
        <f t="shared" si="84"/>
        <v>0</v>
      </c>
      <c r="AG151" s="37">
        <f t="shared" si="85"/>
        <v>0</v>
      </c>
      <c r="AH151" s="36"/>
      <c r="AI151" s="23">
        <f>IF(AM151=0,K151,0)</f>
        <v>0</v>
      </c>
      <c r="AJ151" s="23">
        <f>IF(AM151=15,K151,0)</f>
        <v>0</v>
      </c>
      <c r="AK151" s="23">
        <f>IF(AM151=21,K151,0)</f>
        <v>0</v>
      </c>
      <c r="AM151" s="37">
        <v>21</v>
      </c>
      <c r="AN151" s="37">
        <f>H151*1</f>
        <v>0</v>
      </c>
      <c r="AO151" s="37">
        <f>H151*(1-1)</f>
        <v>0</v>
      </c>
      <c r="AP151" s="39" t="s">
        <v>13</v>
      </c>
      <c r="AU151" s="37">
        <f t="shared" si="86"/>
        <v>0</v>
      </c>
      <c r="AV151" s="37">
        <f>G151*AN151</f>
        <v>0</v>
      </c>
      <c r="AW151" s="37">
        <f>G151*AO151</f>
        <v>0</v>
      </c>
      <c r="AX151" s="40" t="s">
        <v>1072</v>
      </c>
      <c r="AY151" s="40" t="s">
        <v>1116</v>
      </c>
      <c r="AZ151" s="36" t="s">
        <v>1122</v>
      </c>
      <c r="BB151" s="37">
        <f t="shared" si="87"/>
        <v>0</v>
      </c>
      <c r="BC151" s="37">
        <f>H151/(100-BD151)*100</f>
        <v>0</v>
      </c>
      <c r="BD151" s="37">
        <v>0</v>
      </c>
      <c r="BE151" s="37">
        <f>151</f>
        <v>151</v>
      </c>
      <c r="BG151" s="23">
        <f>G151*AN151</f>
        <v>0</v>
      </c>
      <c r="BH151" s="23">
        <f>G151*AO151</f>
        <v>0</v>
      </c>
      <c r="BI151" s="23">
        <f>G151*H151</f>
        <v>0</v>
      </c>
      <c r="BJ151" s="23" t="s">
        <v>1128</v>
      </c>
      <c r="BK151" s="37">
        <v>731</v>
      </c>
    </row>
    <row r="152" spans="1:63" x14ac:dyDescent="0.25">
      <c r="A152" s="7" t="s">
        <v>105</v>
      </c>
      <c r="B152" s="16" t="s">
        <v>402</v>
      </c>
      <c r="C152" s="123" t="s">
        <v>761</v>
      </c>
      <c r="D152" s="124"/>
      <c r="E152" s="124"/>
      <c r="F152" s="16" t="s">
        <v>1024</v>
      </c>
      <c r="G152" s="23">
        <v>2</v>
      </c>
      <c r="H152" s="23">
        <v>0</v>
      </c>
      <c r="I152" s="23">
        <f>G152*AN152</f>
        <v>0</v>
      </c>
      <c r="J152" s="23">
        <f>G152*AO152</f>
        <v>0</v>
      </c>
      <c r="K152" s="23">
        <f t="shared" si="77"/>
        <v>0</v>
      </c>
      <c r="L152" s="5"/>
      <c r="Y152" s="37">
        <f t="shared" si="78"/>
        <v>0</v>
      </c>
      <c r="AA152" s="37">
        <f t="shared" si="79"/>
        <v>0</v>
      </c>
      <c r="AB152" s="37">
        <f t="shared" si="80"/>
        <v>0</v>
      </c>
      <c r="AC152" s="37">
        <f t="shared" si="81"/>
        <v>0</v>
      </c>
      <c r="AD152" s="37">
        <f t="shared" si="82"/>
        <v>0</v>
      </c>
      <c r="AE152" s="37">
        <f t="shared" si="83"/>
        <v>0</v>
      </c>
      <c r="AF152" s="37">
        <f t="shared" si="84"/>
        <v>0</v>
      </c>
      <c r="AG152" s="37">
        <f t="shared" si="85"/>
        <v>0</v>
      </c>
      <c r="AH152" s="36"/>
      <c r="AI152" s="23">
        <f>IF(AM152=0,K152,0)</f>
        <v>0</v>
      </c>
      <c r="AJ152" s="23">
        <f>IF(AM152=15,K152,0)</f>
        <v>0</v>
      </c>
      <c r="AK152" s="23">
        <f>IF(AM152=21,K152,0)</f>
        <v>0</v>
      </c>
      <c r="AM152" s="37">
        <v>21</v>
      </c>
      <c r="AN152" s="37">
        <f>H152*1</f>
        <v>0</v>
      </c>
      <c r="AO152" s="37">
        <f>H152*(1-1)</f>
        <v>0</v>
      </c>
      <c r="AP152" s="39" t="s">
        <v>13</v>
      </c>
      <c r="AU152" s="37">
        <f t="shared" si="86"/>
        <v>0</v>
      </c>
      <c r="AV152" s="37">
        <f>G152*AN152</f>
        <v>0</v>
      </c>
      <c r="AW152" s="37">
        <f>G152*AO152</f>
        <v>0</v>
      </c>
      <c r="AX152" s="40" t="s">
        <v>1072</v>
      </c>
      <c r="AY152" s="40" t="s">
        <v>1116</v>
      </c>
      <c r="AZ152" s="36" t="s">
        <v>1122</v>
      </c>
      <c r="BB152" s="37">
        <f t="shared" si="87"/>
        <v>0</v>
      </c>
      <c r="BC152" s="37">
        <f>H152/(100-BD152)*100</f>
        <v>0</v>
      </c>
      <c r="BD152" s="37">
        <v>0</v>
      </c>
      <c r="BE152" s="37">
        <f>152</f>
        <v>152</v>
      </c>
      <c r="BG152" s="23">
        <f>G152*AN152</f>
        <v>0</v>
      </c>
      <c r="BH152" s="23">
        <f>G152*AO152</f>
        <v>0</v>
      </c>
      <c r="BI152" s="23">
        <f>G152*H152</f>
        <v>0</v>
      </c>
      <c r="BJ152" s="23" t="s">
        <v>1128</v>
      </c>
      <c r="BK152" s="37">
        <v>731</v>
      </c>
    </row>
    <row r="153" spans="1:63" x14ac:dyDescent="0.25">
      <c r="A153" s="7" t="s">
        <v>106</v>
      </c>
      <c r="B153" s="16" t="s">
        <v>403</v>
      </c>
      <c r="C153" s="123" t="s">
        <v>762</v>
      </c>
      <c r="D153" s="124"/>
      <c r="E153" s="124"/>
      <c r="F153" s="16" t="s">
        <v>1024</v>
      </c>
      <c r="G153" s="23">
        <v>2</v>
      </c>
      <c r="H153" s="23">
        <v>0</v>
      </c>
      <c r="I153" s="23">
        <f>G153*AN153</f>
        <v>0</v>
      </c>
      <c r="J153" s="23">
        <f>G153*AO153</f>
        <v>0</v>
      </c>
      <c r="K153" s="23">
        <f t="shared" si="77"/>
        <v>0</v>
      </c>
      <c r="L153" s="5"/>
      <c r="Y153" s="37">
        <f t="shared" si="78"/>
        <v>0</v>
      </c>
      <c r="AA153" s="37">
        <f t="shared" si="79"/>
        <v>0</v>
      </c>
      <c r="AB153" s="37">
        <f t="shared" si="80"/>
        <v>0</v>
      </c>
      <c r="AC153" s="37">
        <f t="shared" si="81"/>
        <v>0</v>
      </c>
      <c r="AD153" s="37">
        <f t="shared" si="82"/>
        <v>0</v>
      </c>
      <c r="AE153" s="37">
        <f t="shared" si="83"/>
        <v>0</v>
      </c>
      <c r="AF153" s="37">
        <f t="shared" si="84"/>
        <v>0</v>
      </c>
      <c r="AG153" s="37">
        <f t="shared" si="85"/>
        <v>0</v>
      </c>
      <c r="AH153" s="36"/>
      <c r="AI153" s="23">
        <f>IF(AM153=0,K153,0)</f>
        <v>0</v>
      </c>
      <c r="AJ153" s="23">
        <f>IF(AM153=15,K153,0)</f>
        <v>0</v>
      </c>
      <c r="AK153" s="23">
        <f>IF(AM153=21,K153,0)</f>
        <v>0</v>
      </c>
      <c r="AM153" s="37">
        <v>21</v>
      </c>
      <c r="AN153" s="37">
        <f>H153*1</f>
        <v>0</v>
      </c>
      <c r="AO153" s="37">
        <f>H153*(1-1)</f>
        <v>0</v>
      </c>
      <c r="AP153" s="39" t="s">
        <v>13</v>
      </c>
      <c r="AU153" s="37">
        <f t="shared" si="86"/>
        <v>0</v>
      </c>
      <c r="AV153" s="37">
        <f>G153*AN153</f>
        <v>0</v>
      </c>
      <c r="AW153" s="37">
        <f>G153*AO153</f>
        <v>0</v>
      </c>
      <c r="AX153" s="40" t="s">
        <v>1072</v>
      </c>
      <c r="AY153" s="40" t="s">
        <v>1116</v>
      </c>
      <c r="AZ153" s="36" t="s">
        <v>1122</v>
      </c>
      <c r="BB153" s="37">
        <f t="shared" si="87"/>
        <v>0</v>
      </c>
      <c r="BC153" s="37">
        <f>H153/(100-BD153)*100</f>
        <v>0</v>
      </c>
      <c r="BD153" s="37">
        <v>0</v>
      </c>
      <c r="BE153" s="37">
        <f>153</f>
        <v>153</v>
      </c>
      <c r="BG153" s="23">
        <f>G153*AN153</f>
        <v>0</v>
      </c>
      <c r="BH153" s="23">
        <f>G153*AO153</f>
        <v>0</v>
      </c>
      <c r="BI153" s="23">
        <f>G153*H153</f>
        <v>0</v>
      </c>
      <c r="BJ153" s="23" t="s">
        <v>1128</v>
      </c>
      <c r="BK153" s="37">
        <v>731</v>
      </c>
    </row>
    <row r="154" spans="1:63" x14ac:dyDescent="0.25">
      <c r="A154" s="4" t="s">
        <v>107</v>
      </c>
      <c r="B154" s="14" t="s">
        <v>404</v>
      </c>
      <c r="C154" s="117" t="s">
        <v>763</v>
      </c>
      <c r="D154" s="118"/>
      <c r="E154" s="118"/>
      <c r="F154" s="14" t="s">
        <v>1024</v>
      </c>
      <c r="G154" s="21">
        <v>1</v>
      </c>
      <c r="H154" s="21">
        <v>0</v>
      </c>
      <c r="I154" s="21">
        <f>G154*AN154</f>
        <v>0</v>
      </c>
      <c r="J154" s="21">
        <f>G154*AO154</f>
        <v>0</v>
      </c>
      <c r="K154" s="21">
        <f t="shared" si="77"/>
        <v>0</v>
      </c>
      <c r="L154" s="5"/>
      <c r="Y154" s="37">
        <f t="shared" si="78"/>
        <v>0</v>
      </c>
      <c r="AA154" s="37">
        <f t="shared" si="79"/>
        <v>0</v>
      </c>
      <c r="AB154" s="37">
        <f t="shared" si="80"/>
        <v>0</v>
      </c>
      <c r="AC154" s="37">
        <f t="shared" si="81"/>
        <v>0</v>
      </c>
      <c r="AD154" s="37">
        <f t="shared" si="82"/>
        <v>0</v>
      </c>
      <c r="AE154" s="37">
        <f t="shared" si="83"/>
        <v>0</v>
      </c>
      <c r="AF154" s="37">
        <f t="shared" si="84"/>
        <v>0</v>
      </c>
      <c r="AG154" s="37">
        <f t="shared" si="85"/>
        <v>0</v>
      </c>
      <c r="AH154" s="36"/>
      <c r="AI154" s="21">
        <f>IF(AM154=0,K154,0)</f>
        <v>0</v>
      </c>
      <c r="AJ154" s="21">
        <f>IF(AM154=15,K154,0)</f>
        <v>0</v>
      </c>
      <c r="AK154" s="21">
        <f>IF(AM154=21,K154,0)</f>
        <v>0</v>
      </c>
      <c r="AM154" s="37">
        <v>21</v>
      </c>
      <c r="AN154" s="37">
        <f>H154*0.139303482587065</f>
        <v>0</v>
      </c>
      <c r="AO154" s="37">
        <f>H154*(1-0.139303482587065)</f>
        <v>0</v>
      </c>
      <c r="AP154" s="38" t="s">
        <v>13</v>
      </c>
      <c r="AU154" s="37">
        <f t="shared" si="86"/>
        <v>0</v>
      </c>
      <c r="AV154" s="37">
        <f>G154*AN154</f>
        <v>0</v>
      </c>
      <c r="AW154" s="37">
        <f>G154*AO154</f>
        <v>0</v>
      </c>
      <c r="AX154" s="40" t="s">
        <v>1072</v>
      </c>
      <c r="AY154" s="40" t="s">
        <v>1116</v>
      </c>
      <c r="AZ154" s="36" t="s">
        <v>1122</v>
      </c>
      <c r="BB154" s="37">
        <f t="shared" si="87"/>
        <v>0</v>
      </c>
      <c r="BC154" s="37">
        <f>H154/(100-BD154)*100</f>
        <v>0</v>
      </c>
      <c r="BD154" s="37">
        <v>0</v>
      </c>
      <c r="BE154" s="37">
        <f>154</f>
        <v>154</v>
      </c>
      <c r="BG154" s="21">
        <f>G154*AN154</f>
        <v>0</v>
      </c>
      <c r="BH154" s="21">
        <f>G154*AO154</f>
        <v>0</v>
      </c>
      <c r="BI154" s="21">
        <f>G154*H154</f>
        <v>0</v>
      </c>
      <c r="BJ154" s="21" t="s">
        <v>1127</v>
      </c>
      <c r="BK154" s="37">
        <v>731</v>
      </c>
    </row>
    <row r="155" spans="1:63" x14ac:dyDescent="0.25">
      <c r="A155" s="7" t="s">
        <v>108</v>
      </c>
      <c r="B155" s="16" t="s">
        <v>405</v>
      </c>
      <c r="C155" s="123" t="s">
        <v>764</v>
      </c>
      <c r="D155" s="124"/>
      <c r="E155" s="124"/>
      <c r="F155" s="16" t="s">
        <v>1024</v>
      </c>
      <c r="G155" s="23">
        <v>1</v>
      </c>
      <c r="H155" s="23">
        <v>0</v>
      </c>
      <c r="I155" s="23">
        <f>G155*AN155</f>
        <v>0</v>
      </c>
      <c r="J155" s="23">
        <f>G155*AO155</f>
        <v>0</v>
      </c>
      <c r="K155" s="23">
        <f t="shared" si="77"/>
        <v>0</v>
      </c>
      <c r="L155" s="5"/>
      <c r="Y155" s="37">
        <f t="shared" si="78"/>
        <v>0</v>
      </c>
      <c r="AA155" s="37">
        <f t="shared" si="79"/>
        <v>0</v>
      </c>
      <c r="AB155" s="37">
        <f t="shared" si="80"/>
        <v>0</v>
      </c>
      <c r="AC155" s="37">
        <f t="shared" si="81"/>
        <v>0</v>
      </c>
      <c r="AD155" s="37">
        <f t="shared" si="82"/>
        <v>0</v>
      </c>
      <c r="AE155" s="37">
        <f t="shared" si="83"/>
        <v>0</v>
      </c>
      <c r="AF155" s="37">
        <f t="shared" si="84"/>
        <v>0</v>
      </c>
      <c r="AG155" s="37">
        <f t="shared" si="85"/>
        <v>0</v>
      </c>
      <c r="AH155" s="36"/>
      <c r="AI155" s="23">
        <f>IF(AM155=0,K155,0)</f>
        <v>0</v>
      </c>
      <c r="AJ155" s="23">
        <f>IF(AM155=15,K155,0)</f>
        <v>0</v>
      </c>
      <c r="AK155" s="23">
        <f>IF(AM155=21,K155,0)</f>
        <v>0</v>
      </c>
      <c r="AM155" s="37">
        <v>21</v>
      </c>
      <c r="AN155" s="37">
        <f>H155*1</f>
        <v>0</v>
      </c>
      <c r="AO155" s="37">
        <f>H155*(1-1)</f>
        <v>0</v>
      </c>
      <c r="AP155" s="39" t="s">
        <v>13</v>
      </c>
      <c r="AU155" s="37">
        <f t="shared" si="86"/>
        <v>0</v>
      </c>
      <c r="AV155" s="37">
        <f>G155*AN155</f>
        <v>0</v>
      </c>
      <c r="AW155" s="37">
        <f>G155*AO155</f>
        <v>0</v>
      </c>
      <c r="AX155" s="40" t="s">
        <v>1072</v>
      </c>
      <c r="AY155" s="40" t="s">
        <v>1116</v>
      </c>
      <c r="AZ155" s="36" t="s">
        <v>1122</v>
      </c>
      <c r="BB155" s="37">
        <f t="shared" si="87"/>
        <v>0</v>
      </c>
      <c r="BC155" s="37">
        <f>H155/(100-BD155)*100</f>
        <v>0</v>
      </c>
      <c r="BD155" s="37">
        <v>0</v>
      </c>
      <c r="BE155" s="37">
        <f>155</f>
        <v>155</v>
      </c>
      <c r="BG155" s="23">
        <f>G155*AN155</f>
        <v>0</v>
      </c>
      <c r="BH155" s="23">
        <f>G155*AO155</f>
        <v>0</v>
      </c>
      <c r="BI155" s="23">
        <f>G155*H155</f>
        <v>0</v>
      </c>
      <c r="BJ155" s="23" t="s">
        <v>1128</v>
      </c>
      <c r="BK155" s="37">
        <v>731</v>
      </c>
    </row>
    <row r="156" spans="1:63" x14ac:dyDescent="0.25">
      <c r="A156" s="7" t="s">
        <v>109</v>
      </c>
      <c r="B156" s="16" t="s">
        <v>406</v>
      </c>
      <c r="C156" s="123" t="s">
        <v>765</v>
      </c>
      <c r="D156" s="124"/>
      <c r="E156" s="124"/>
      <c r="F156" s="16" t="s">
        <v>1024</v>
      </c>
      <c r="G156" s="23">
        <v>1</v>
      </c>
      <c r="H156" s="23">
        <v>0</v>
      </c>
      <c r="I156" s="23">
        <f>G156*AN156</f>
        <v>0</v>
      </c>
      <c r="J156" s="23">
        <f>G156*AO156</f>
        <v>0</v>
      </c>
      <c r="K156" s="23">
        <f t="shared" si="77"/>
        <v>0</v>
      </c>
      <c r="L156" s="5"/>
      <c r="Y156" s="37">
        <f t="shared" si="78"/>
        <v>0</v>
      </c>
      <c r="AA156" s="37">
        <f t="shared" si="79"/>
        <v>0</v>
      </c>
      <c r="AB156" s="37">
        <f t="shared" si="80"/>
        <v>0</v>
      </c>
      <c r="AC156" s="37">
        <f t="shared" si="81"/>
        <v>0</v>
      </c>
      <c r="AD156" s="37">
        <f t="shared" si="82"/>
        <v>0</v>
      </c>
      <c r="AE156" s="37">
        <f t="shared" si="83"/>
        <v>0</v>
      </c>
      <c r="AF156" s="37">
        <f t="shared" si="84"/>
        <v>0</v>
      </c>
      <c r="AG156" s="37">
        <f t="shared" si="85"/>
        <v>0</v>
      </c>
      <c r="AH156" s="36"/>
      <c r="AI156" s="23">
        <f>IF(AM156=0,K156,0)</f>
        <v>0</v>
      </c>
      <c r="AJ156" s="23">
        <f>IF(AM156=15,K156,0)</f>
        <v>0</v>
      </c>
      <c r="AK156" s="23">
        <f>IF(AM156=21,K156,0)</f>
        <v>0</v>
      </c>
      <c r="AM156" s="37">
        <v>21</v>
      </c>
      <c r="AN156" s="37">
        <f>H156*1</f>
        <v>0</v>
      </c>
      <c r="AO156" s="37">
        <f>H156*(1-1)</f>
        <v>0</v>
      </c>
      <c r="AP156" s="39" t="s">
        <v>13</v>
      </c>
      <c r="AU156" s="37">
        <f t="shared" si="86"/>
        <v>0</v>
      </c>
      <c r="AV156" s="37">
        <f>G156*AN156</f>
        <v>0</v>
      </c>
      <c r="AW156" s="37">
        <f>G156*AO156</f>
        <v>0</v>
      </c>
      <c r="AX156" s="40" t="s">
        <v>1072</v>
      </c>
      <c r="AY156" s="40" t="s">
        <v>1116</v>
      </c>
      <c r="AZ156" s="36" t="s">
        <v>1122</v>
      </c>
      <c r="BB156" s="37">
        <f t="shared" si="87"/>
        <v>0</v>
      </c>
      <c r="BC156" s="37">
        <f>H156/(100-BD156)*100</f>
        <v>0</v>
      </c>
      <c r="BD156" s="37">
        <v>0</v>
      </c>
      <c r="BE156" s="37">
        <f>156</f>
        <v>156</v>
      </c>
      <c r="BG156" s="23">
        <f>G156*AN156</f>
        <v>0</v>
      </c>
      <c r="BH156" s="23">
        <f>G156*AO156</f>
        <v>0</v>
      </c>
      <c r="BI156" s="23">
        <f>G156*H156</f>
        <v>0</v>
      </c>
      <c r="BJ156" s="23" t="s">
        <v>1128</v>
      </c>
      <c r="BK156" s="37">
        <v>731</v>
      </c>
    </row>
    <row r="157" spans="1:63" x14ac:dyDescent="0.25">
      <c r="A157" s="4" t="s">
        <v>110</v>
      </c>
      <c r="B157" s="14" t="s">
        <v>407</v>
      </c>
      <c r="C157" s="117" t="s">
        <v>766</v>
      </c>
      <c r="D157" s="118"/>
      <c r="E157" s="118"/>
      <c r="F157" s="14" t="s">
        <v>1024</v>
      </c>
      <c r="G157" s="21">
        <v>1</v>
      </c>
      <c r="H157" s="21">
        <v>0</v>
      </c>
      <c r="I157" s="21">
        <f>G157*AN157</f>
        <v>0</v>
      </c>
      <c r="J157" s="21">
        <f>G157*AO157</f>
        <v>0</v>
      </c>
      <c r="K157" s="21">
        <f t="shared" si="77"/>
        <v>0</v>
      </c>
      <c r="L157" s="5"/>
      <c r="Y157" s="37">
        <f t="shared" si="78"/>
        <v>0</v>
      </c>
      <c r="AA157" s="37">
        <f t="shared" si="79"/>
        <v>0</v>
      </c>
      <c r="AB157" s="37">
        <f t="shared" si="80"/>
        <v>0</v>
      </c>
      <c r="AC157" s="37">
        <f t="shared" si="81"/>
        <v>0</v>
      </c>
      <c r="AD157" s="37">
        <f t="shared" si="82"/>
        <v>0</v>
      </c>
      <c r="AE157" s="37">
        <f t="shared" si="83"/>
        <v>0</v>
      </c>
      <c r="AF157" s="37">
        <f t="shared" si="84"/>
        <v>0</v>
      </c>
      <c r="AG157" s="37">
        <f t="shared" si="85"/>
        <v>0</v>
      </c>
      <c r="AH157" s="36"/>
      <c r="AI157" s="21">
        <f>IF(AM157=0,K157,0)</f>
        <v>0</v>
      </c>
      <c r="AJ157" s="21">
        <f>IF(AM157=15,K157,0)</f>
        <v>0</v>
      </c>
      <c r="AK157" s="21">
        <f>IF(AM157=21,K157,0)</f>
        <v>0</v>
      </c>
      <c r="AM157" s="37">
        <v>21</v>
      </c>
      <c r="AN157" s="37">
        <f>H157*0.238095238095238</f>
        <v>0</v>
      </c>
      <c r="AO157" s="37">
        <f>H157*(1-0.238095238095238)</f>
        <v>0</v>
      </c>
      <c r="AP157" s="38" t="s">
        <v>13</v>
      </c>
      <c r="AU157" s="37">
        <f t="shared" si="86"/>
        <v>0</v>
      </c>
      <c r="AV157" s="37">
        <f>G157*AN157</f>
        <v>0</v>
      </c>
      <c r="AW157" s="37">
        <f>G157*AO157</f>
        <v>0</v>
      </c>
      <c r="AX157" s="40" t="s">
        <v>1072</v>
      </c>
      <c r="AY157" s="40" t="s">
        <v>1116</v>
      </c>
      <c r="AZ157" s="36" t="s">
        <v>1122</v>
      </c>
      <c r="BB157" s="37">
        <f t="shared" si="87"/>
        <v>0</v>
      </c>
      <c r="BC157" s="37">
        <f>H157/(100-BD157)*100</f>
        <v>0</v>
      </c>
      <c r="BD157" s="37">
        <v>0</v>
      </c>
      <c r="BE157" s="37">
        <f>157</f>
        <v>157</v>
      </c>
      <c r="BG157" s="21">
        <f>G157*AN157</f>
        <v>0</v>
      </c>
      <c r="BH157" s="21">
        <f>G157*AO157</f>
        <v>0</v>
      </c>
      <c r="BI157" s="21">
        <f>G157*H157</f>
        <v>0</v>
      </c>
      <c r="BJ157" s="21" t="s">
        <v>1127</v>
      </c>
      <c r="BK157" s="37">
        <v>731</v>
      </c>
    </row>
    <row r="158" spans="1:63" x14ac:dyDescent="0.25">
      <c r="A158" s="6"/>
      <c r="B158" s="15" t="s">
        <v>408</v>
      </c>
      <c r="C158" s="121" t="s">
        <v>767</v>
      </c>
      <c r="D158" s="122"/>
      <c r="E158" s="122"/>
      <c r="F158" s="19" t="s">
        <v>6</v>
      </c>
      <c r="G158" s="19" t="s">
        <v>6</v>
      </c>
      <c r="H158" s="19" t="s">
        <v>6</v>
      </c>
      <c r="I158" s="43">
        <f>SUM(I159:I179)</f>
        <v>0</v>
      </c>
      <c r="J158" s="43">
        <f>SUM(J159:J179)</f>
        <v>0</v>
      </c>
      <c r="K158" s="43">
        <f>SUM(K159:K179)</f>
        <v>0</v>
      </c>
      <c r="L158" s="5"/>
      <c r="AH158" s="36"/>
      <c r="AR158" s="43">
        <f>SUM(AI159:AI179)</f>
        <v>0</v>
      </c>
      <c r="AS158" s="43">
        <f>SUM(AJ159:AJ179)</f>
        <v>0</v>
      </c>
      <c r="AT158" s="43">
        <f>SUM(AK159:AK179)</f>
        <v>0</v>
      </c>
    </row>
    <row r="159" spans="1:63" x14ac:dyDescent="0.25">
      <c r="A159" s="4" t="s">
        <v>111</v>
      </c>
      <c r="B159" s="14" t="s">
        <v>409</v>
      </c>
      <c r="C159" s="117" t="s">
        <v>768</v>
      </c>
      <c r="D159" s="118"/>
      <c r="E159" s="118"/>
      <c r="F159" s="14" t="s">
        <v>1024</v>
      </c>
      <c r="G159" s="21">
        <v>1</v>
      </c>
      <c r="H159" s="21">
        <v>0</v>
      </c>
      <c r="I159" s="21">
        <f>G159*AN159</f>
        <v>0</v>
      </c>
      <c r="J159" s="21">
        <f>G159*AO159</f>
        <v>0</v>
      </c>
      <c r="K159" s="21">
        <f>G159*H159</f>
        <v>0</v>
      </c>
      <c r="L159" s="5"/>
      <c r="Y159" s="37">
        <f>IF(AP159="5",BI159,0)</f>
        <v>0</v>
      </c>
      <c r="AA159" s="37">
        <f>IF(AP159="1",BG159,0)</f>
        <v>0</v>
      </c>
      <c r="AB159" s="37">
        <f>IF(AP159="1",BH159,0)</f>
        <v>0</v>
      </c>
      <c r="AC159" s="37">
        <f>IF(AP159="7",BG159,0)</f>
        <v>0</v>
      </c>
      <c r="AD159" s="37">
        <f>IF(AP159="7",BH159,0)</f>
        <v>0</v>
      </c>
      <c r="AE159" s="37">
        <f>IF(AP159="2",BG159,0)</f>
        <v>0</v>
      </c>
      <c r="AF159" s="37">
        <f>IF(AP159="2",BH159,0)</f>
        <v>0</v>
      </c>
      <c r="AG159" s="37">
        <f>IF(AP159="0",BI159,0)</f>
        <v>0</v>
      </c>
      <c r="AH159" s="36"/>
      <c r="AI159" s="21">
        <f>IF(AM159=0,K159,0)</f>
        <v>0</v>
      </c>
      <c r="AJ159" s="21">
        <f>IF(AM159=15,K159,0)</f>
        <v>0</v>
      </c>
      <c r="AK159" s="21">
        <f>IF(AM159=21,K159,0)</f>
        <v>0</v>
      </c>
      <c r="AM159" s="37">
        <v>21</v>
      </c>
      <c r="AN159" s="37">
        <f>H159*0</f>
        <v>0</v>
      </c>
      <c r="AO159" s="37">
        <f>H159*(1-0)</f>
        <v>0</v>
      </c>
      <c r="AP159" s="38" t="s">
        <v>13</v>
      </c>
      <c r="AU159" s="37">
        <f>AV159+AW159</f>
        <v>0</v>
      </c>
      <c r="AV159" s="37">
        <f>G159*AN159</f>
        <v>0</v>
      </c>
      <c r="AW159" s="37">
        <f>G159*AO159</f>
        <v>0</v>
      </c>
      <c r="AX159" s="40" t="s">
        <v>1073</v>
      </c>
      <c r="AY159" s="40" t="s">
        <v>1116</v>
      </c>
      <c r="AZ159" s="36" t="s">
        <v>1122</v>
      </c>
      <c r="BB159" s="37">
        <f>AV159+AW159</f>
        <v>0</v>
      </c>
      <c r="BC159" s="37">
        <f>H159/(100-BD159)*100</f>
        <v>0</v>
      </c>
      <c r="BD159" s="37">
        <v>0</v>
      </c>
      <c r="BE159" s="37">
        <f>159</f>
        <v>159</v>
      </c>
      <c r="BG159" s="21">
        <f>G159*AN159</f>
        <v>0</v>
      </c>
      <c r="BH159" s="21">
        <f>G159*AO159</f>
        <v>0</v>
      </c>
      <c r="BI159" s="21">
        <f>G159*H159</f>
        <v>0</v>
      </c>
      <c r="BJ159" s="21" t="s">
        <v>1127</v>
      </c>
      <c r="BK159" s="37">
        <v>732</v>
      </c>
    </row>
    <row r="160" spans="1:63" x14ac:dyDescent="0.25">
      <c r="A160" s="4" t="s">
        <v>112</v>
      </c>
      <c r="B160" s="14" t="s">
        <v>410</v>
      </c>
      <c r="C160" s="117" t="s">
        <v>769</v>
      </c>
      <c r="D160" s="118"/>
      <c r="E160" s="118"/>
      <c r="F160" s="14" t="s">
        <v>1024</v>
      </c>
      <c r="G160" s="21">
        <v>1</v>
      </c>
      <c r="H160" s="21">
        <v>0</v>
      </c>
      <c r="I160" s="21">
        <f>G160*AN160</f>
        <v>0</v>
      </c>
      <c r="J160" s="21">
        <f>G160*AO160</f>
        <v>0</v>
      </c>
      <c r="K160" s="21">
        <f>G160*H160</f>
        <v>0</v>
      </c>
      <c r="L160" s="5"/>
      <c r="Y160" s="37">
        <f>IF(AP160="5",BI160,0)</f>
        <v>0</v>
      </c>
      <c r="AA160" s="37">
        <f>IF(AP160="1",BG160,0)</f>
        <v>0</v>
      </c>
      <c r="AB160" s="37">
        <f>IF(AP160="1",BH160,0)</f>
        <v>0</v>
      </c>
      <c r="AC160" s="37">
        <f>IF(AP160="7",BG160,0)</f>
        <v>0</v>
      </c>
      <c r="AD160" s="37">
        <f>IF(AP160="7",BH160,0)</f>
        <v>0</v>
      </c>
      <c r="AE160" s="37">
        <f>IF(AP160="2",BG160,0)</f>
        <v>0</v>
      </c>
      <c r="AF160" s="37">
        <f>IF(AP160="2",BH160,0)</f>
        <v>0</v>
      </c>
      <c r="AG160" s="37">
        <f>IF(AP160="0",BI160,0)</f>
        <v>0</v>
      </c>
      <c r="AH160" s="36"/>
      <c r="AI160" s="21">
        <f>IF(AM160=0,K160,0)</f>
        <v>0</v>
      </c>
      <c r="AJ160" s="21">
        <f>IF(AM160=15,K160,0)</f>
        <v>0</v>
      </c>
      <c r="AK160" s="21">
        <f>IF(AM160=21,K160,0)</f>
        <v>0</v>
      </c>
      <c r="AM160" s="37">
        <v>21</v>
      </c>
      <c r="AN160" s="37">
        <f>H160*0</f>
        <v>0</v>
      </c>
      <c r="AO160" s="37">
        <f>H160*(1-0)</f>
        <v>0</v>
      </c>
      <c r="AP160" s="38" t="s">
        <v>13</v>
      </c>
      <c r="AU160" s="37">
        <f>AV160+AW160</f>
        <v>0</v>
      </c>
      <c r="AV160" s="37">
        <f>G160*AN160</f>
        <v>0</v>
      </c>
      <c r="AW160" s="37">
        <f>G160*AO160</f>
        <v>0</v>
      </c>
      <c r="AX160" s="40" t="s">
        <v>1073</v>
      </c>
      <c r="AY160" s="40" t="s">
        <v>1116</v>
      </c>
      <c r="AZ160" s="36" t="s">
        <v>1122</v>
      </c>
      <c r="BB160" s="37">
        <f>AV160+AW160</f>
        <v>0</v>
      </c>
      <c r="BC160" s="37">
        <f>H160/(100-BD160)*100</f>
        <v>0</v>
      </c>
      <c r="BD160" s="37">
        <v>0</v>
      </c>
      <c r="BE160" s="37">
        <f>160</f>
        <v>160</v>
      </c>
      <c r="BG160" s="21">
        <f>G160*AN160</f>
        <v>0</v>
      </c>
      <c r="BH160" s="21">
        <f>G160*AO160</f>
        <v>0</v>
      </c>
      <c r="BI160" s="21">
        <f>G160*H160</f>
        <v>0</v>
      </c>
      <c r="BJ160" s="21" t="s">
        <v>1127</v>
      </c>
      <c r="BK160" s="37">
        <v>732</v>
      </c>
    </row>
    <row r="161" spans="1:63" x14ac:dyDescent="0.25">
      <c r="A161" s="4" t="s">
        <v>113</v>
      </c>
      <c r="B161" s="14" t="s">
        <v>411</v>
      </c>
      <c r="C161" s="117" t="s">
        <v>770</v>
      </c>
      <c r="D161" s="118"/>
      <c r="E161" s="118"/>
      <c r="F161" s="14" t="s">
        <v>1024</v>
      </c>
      <c r="G161" s="21">
        <v>1</v>
      </c>
      <c r="H161" s="21">
        <v>0</v>
      </c>
      <c r="I161" s="21">
        <f>G161*AN161</f>
        <v>0</v>
      </c>
      <c r="J161" s="21">
        <f>G161*AO161</f>
        <v>0</v>
      </c>
      <c r="K161" s="21">
        <f>G161*H161</f>
        <v>0</v>
      </c>
      <c r="L161" s="5"/>
      <c r="Y161" s="37">
        <f>IF(AP161="5",BI161,0)</f>
        <v>0</v>
      </c>
      <c r="AA161" s="37">
        <f>IF(AP161="1",BG161,0)</f>
        <v>0</v>
      </c>
      <c r="AB161" s="37">
        <f>IF(AP161="1",BH161,0)</f>
        <v>0</v>
      </c>
      <c r="AC161" s="37">
        <f>IF(AP161="7",BG161,0)</f>
        <v>0</v>
      </c>
      <c r="AD161" s="37">
        <f>IF(AP161="7",BH161,0)</f>
        <v>0</v>
      </c>
      <c r="AE161" s="37">
        <f>IF(AP161="2",BG161,0)</f>
        <v>0</v>
      </c>
      <c r="AF161" s="37">
        <f>IF(AP161="2",BH161,0)</f>
        <v>0</v>
      </c>
      <c r="AG161" s="37">
        <f>IF(AP161="0",BI161,0)</f>
        <v>0</v>
      </c>
      <c r="AH161" s="36"/>
      <c r="AI161" s="21">
        <f>IF(AM161=0,K161,0)</f>
        <v>0</v>
      </c>
      <c r="AJ161" s="21">
        <f>IF(AM161=15,K161,0)</f>
        <v>0</v>
      </c>
      <c r="AK161" s="21">
        <f>IF(AM161=21,K161,0)</f>
        <v>0</v>
      </c>
      <c r="AM161" s="37">
        <v>21</v>
      </c>
      <c r="AN161" s="37">
        <f>H161*0</f>
        <v>0</v>
      </c>
      <c r="AO161" s="37">
        <f>H161*(1-0)</f>
        <v>0</v>
      </c>
      <c r="AP161" s="38" t="s">
        <v>13</v>
      </c>
      <c r="AU161" s="37">
        <f>AV161+AW161</f>
        <v>0</v>
      </c>
      <c r="AV161" s="37">
        <f>G161*AN161</f>
        <v>0</v>
      </c>
      <c r="AW161" s="37">
        <f>G161*AO161</f>
        <v>0</v>
      </c>
      <c r="AX161" s="40" t="s">
        <v>1073</v>
      </c>
      <c r="AY161" s="40" t="s">
        <v>1116</v>
      </c>
      <c r="AZ161" s="36" t="s">
        <v>1122</v>
      </c>
      <c r="BB161" s="37">
        <f>AV161+AW161</f>
        <v>0</v>
      </c>
      <c r="BC161" s="37">
        <f>H161/(100-BD161)*100</f>
        <v>0</v>
      </c>
      <c r="BD161" s="37">
        <v>0</v>
      </c>
      <c r="BE161" s="37">
        <f>161</f>
        <v>161</v>
      </c>
      <c r="BG161" s="21">
        <f>G161*AN161</f>
        <v>0</v>
      </c>
      <c r="BH161" s="21">
        <f>G161*AO161</f>
        <v>0</v>
      </c>
      <c r="BI161" s="21">
        <f>G161*H161</f>
        <v>0</v>
      </c>
      <c r="BJ161" s="21" t="s">
        <v>1127</v>
      </c>
      <c r="BK161" s="37">
        <v>732</v>
      </c>
    </row>
    <row r="162" spans="1:63" x14ac:dyDescent="0.25">
      <c r="A162" s="4" t="s">
        <v>114</v>
      </c>
      <c r="B162" s="14" t="s">
        <v>412</v>
      </c>
      <c r="C162" s="117" t="s">
        <v>771</v>
      </c>
      <c r="D162" s="118"/>
      <c r="E162" s="118"/>
      <c r="F162" s="14" t="s">
        <v>1024</v>
      </c>
      <c r="G162" s="21">
        <v>1</v>
      </c>
      <c r="H162" s="21">
        <v>0</v>
      </c>
      <c r="I162" s="21">
        <f>G162*AN162</f>
        <v>0</v>
      </c>
      <c r="J162" s="21">
        <f>G162*AO162</f>
        <v>0</v>
      </c>
      <c r="K162" s="21">
        <f>G162*H162</f>
        <v>0</v>
      </c>
      <c r="L162" s="5"/>
      <c r="Y162" s="37">
        <f>IF(AP162="5",BI162,0)</f>
        <v>0</v>
      </c>
      <c r="AA162" s="37">
        <f>IF(AP162="1",BG162,0)</f>
        <v>0</v>
      </c>
      <c r="AB162" s="37">
        <f>IF(AP162="1",BH162,0)</f>
        <v>0</v>
      </c>
      <c r="AC162" s="37">
        <f>IF(AP162="7",BG162,0)</f>
        <v>0</v>
      </c>
      <c r="AD162" s="37">
        <f>IF(AP162="7",BH162,0)</f>
        <v>0</v>
      </c>
      <c r="AE162" s="37">
        <f>IF(AP162="2",BG162,0)</f>
        <v>0</v>
      </c>
      <c r="AF162" s="37">
        <f>IF(AP162="2",BH162,0)</f>
        <v>0</v>
      </c>
      <c r="AG162" s="37">
        <f>IF(AP162="0",BI162,0)</f>
        <v>0</v>
      </c>
      <c r="AH162" s="36"/>
      <c r="AI162" s="21">
        <f>IF(AM162=0,K162,0)</f>
        <v>0</v>
      </c>
      <c r="AJ162" s="21">
        <f>IF(AM162=15,K162,0)</f>
        <v>0</v>
      </c>
      <c r="AK162" s="21">
        <f>IF(AM162=21,K162,0)</f>
        <v>0</v>
      </c>
      <c r="AM162" s="37">
        <v>21</v>
      </c>
      <c r="AN162" s="37">
        <f>H162*0.0424120603015075</f>
        <v>0</v>
      </c>
      <c r="AO162" s="37">
        <f>H162*(1-0.0424120603015075)</f>
        <v>0</v>
      </c>
      <c r="AP162" s="38" t="s">
        <v>13</v>
      </c>
      <c r="AU162" s="37">
        <f>AV162+AW162</f>
        <v>0</v>
      </c>
      <c r="AV162" s="37">
        <f>G162*AN162</f>
        <v>0</v>
      </c>
      <c r="AW162" s="37">
        <f>G162*AO162</f>
        <v>0</v>
      </c>
      <c r="AX162" s="40" t="s">
        <v>1073</v>
      </c>
      <c r="AY162" s="40" t="s">
        <v>1116</v>
      </c>
      <c r="AZ162" s="36" t="s">
        <v>1122</v>
      </c>
      <c r="BB162" s="37">
        <f>AV162+AW162</f>
        <v>0</v>
      </c>
      <c r="BC162" s="37">
        <f>H162/(100-BD162)*100</f>
        <v>0</v>
      </c>
      <c r="BD162" s="37">
        <v>0</v>
      </c>
      <c r="BE162" s="37">
        <f>162</f>
        <v>162</v>
      </c>
      <c r="BG162" s="21">
        <f>G162*AN162</f>
        <v>0</v>
      </c>
      <c r="BH162" s="21">
        <f>G162*AO162</f>
        <v>0</v>
      </c>
      <c r="BI162" s="21">
        <f>G162*H162</f>
        <v>0</v>
      </c>
      <c r="BJ162" s="21" t="s">
        <v>1127</v>
      </c>
      <c r="BK162" s="37">
        <v>732</v>
      </c>
    </row>
    <row r="163" spans="1:63" x14ac:dyDescent="0.25">
      <c r="A163" s="4" t="s">
        <v>115</v>
      </c>
      <c r="B163" s="14" t="s">
        <v>413</v>
      </c>
      <c r="C163" s="117" t="s">
        <v>772</v>
      </c>
      <c r="D163" s="118"/>
      <c r="E163" s="118"/>
      <c r="F163" s="14" t="s">
        <v>1024</v>
      </c>
      <c r="G163" s="21">
        <v>1</v>
      </c>
      <c r="H163" s="21">
        <v>0</v>
      </c>
      <c r="I163" s="21">
        <f>G163*AN163</f>
        <v>0</v>
      </c>
      <c r="J163" s="21">
        <f>G163*AO163</f>
        <v>0</v>
      </c>
      <c r="K163" s="21">
        <f>G163*H163</f>
        <v>0</v>
      </c>
      <c r="L163" s="5"/>
      <c r="Y163" s="37">
        <f>IF(AP163="5",BI163,0)</f>
        <v>0</v>
      </c>
      <c r="AA163" s="37">
        <f>IF(AP163="1",BG163,0)</f>
        <v>0</v>
      </c>
      <c r="AB163" s="37">
        <f>IF(AP163="1",BH163,0)</f>
        <v>0</v>
      </c>
      <c r="AC163" s="37">
        <f>IF(AP163="7",BG163,0)</f>
        <v>0</v>
      </c>
      <c r="AD163" s="37">
        <f>IF(AP163="7",BH163,0)</f>
        <v>0</v>
      </c>
      <c r="AE163" s="37">
        <f>IF(AP163="2",BG163,0)</f>
        <v>0</v>
      </c>
      <c r="AF163" s="37">
        <f>IF(AP163="2",BH163,0)</f>
        <v>0</v>
      </c>
      <c r="AG163" s="37">
        <f>IF(AP163="0",BI163,0)</f>
        <v>0</v>
      </c>
      <c r="AH163" s="36"/>
      <c r="AI163" s="21">
        <f>IF(AM163=0,K163,0)</f>
        <v>0</v>
      </c>
      <c r="AJ163" s="21">
        <f>IF(AM163=15,K163,0)</f>
        <v>0</v>
      </c>
      <c r="AK163" s="21">
        <f>IF(AM163=21,K163,0)</f>
        <v>0</v>
      </c>
      <c r="AM163" s="37">
        <v>21</v>
      </c>
      <c r="AN163" s="37">
        <f>H163*0.904808195618036</f>
        <v>0</v>
      </c>
      <c r="AO163" s="37">
        <f>H163*(1-0.904808195618036)</f>
        <v>0</v>
      </c>
      <c r="AP163" s="38" t="s">
        <v>13</v>
      </c>
      <c r="AU163" s="37">
        <f>AV163+AW163</f>
        <v>0</v>
      </c>
      <c r="AV163" s="37">
        <f>G163*AN163</f>
        <v>0</v>
      </c>
      <c r="AW163" s="37">
        <f>G163*AO163</f>
        <v>0</v>
      </c>
      <c r="AX163" s="40" t="s">
        <v>1073</v>
      </c>
      <c r="AY163" s="40" t="s">
        <v>1116</v>
      </c>
      <c r="AZ163" s="36" t="s">
        <v>1122</v>
      </c>
      <c r="BB163" s="37">
        <f>AV163+AW163</f>
        <v>0</v>
      </c>
      <c r="BC163" s="37">
        <f>H163/(100-BD163)*100</f>
        <v>0</v>
      </c>
      <c r="BD163" s="37">
        <v>0</v>
      </c>
      <c r="BE163" s="37">
        <f>163</f>
        <v>163</v>
      </c>
      <c r="BG163" s="21">
        <f>G163*AN163</f>
        <v>0</v>
      </c>
      <c r="BH163" s="21">
        <f>G163*AO163</f>
        <v>0</v>
      </c>
      <c r="BI163" s="21">
        <f>G163*H163</f>
        <v>0</v>
      </c>
      <c r="BJ163" s="21" t="s">
        <v>1127</v>
      </c>
      <c r="BK163" s="37">
        <v>732</v>
      </c>
    </row>
    <row r="164" spans="1:63" x14ac:dyDescent="0.25">
      <c r="A164" s="5"/>
      <c r="C164" s="119" t="s">
        <v>773</v>
      </c>
      <c r="D164" s="120"/>
      <c r="E164" s="120"/>
      <c r="G164" s="22">
        <v>1</v>
      </c>
      <c r="L164" s="5"/>
    </row>
    <row r="165" spans="1:63" x14ac:dyDescent="0.25">
      <c r="A165" s="4" t="s">
        <v>116</v>
      </c>
      <c r="B165" s="14" t="s">
        <v>414</v>
      </c>
      <c r="C165" s="117" t="s">
        <v>774</v>
      </c>
      <c r="D165" s="118"/>
      <c r="E165" s="118"/>
      <c r="F165" s="14" t="s">
        <v>1024</v>
      </c>
      <c r="G165" s="21">
        <v>2</v>
      </c>
      <c r="H165" s="21">
        <v>0</v>
      </c>
      <c r="I165" s="21">
        <f>G165*AN165</f>
        <v>0</v>
      </c>
      <c r="J165" s="21">
        <f>G165*AO165</f>
        <v>0</v>
      </c>
      <c r="K165" s="21">
        <f>G165*H165</f>
        <v>0</v>
      </c>
      <c r="L165" s="5"/>
      <c r="Y165" s="37">
        <f>IF(AP165="5",BI165,0)</f>
        <v>0</v>
      </c>
      <c r="AA165" s="37">
        <f>IF(AP165="1",BG165,0)</f>
        <v>0</v>
      </c>
      <c r="AB165" s="37">
        <f>IF(AP165="1",BH165,0)</f>
        <v>0</v>
      </c>
      <c r="AC165" s="37">
        <f>IF(AP165="7",BG165,0)</f>
        <v>0</v>
      </c>
      <c r="AD165" s="37">
        <f>IF(AP165="7",BH165,0)</f>
        <v>0</v>
      </c>
      <c r="AE165" s="37">
        <f>IF(AP165="2",BG165,0)</f>
        <v>0</v>
      </c>
      <c r="AF165" s="37">
        <f>IF(AP165="2",BH165,0)</f>
        <v>0</v>
      </c>
      <c r="AG165" s="37">
        <f>IF(AP165="0",BI165,0)</f>
        <v>0</v>
      </c>
      <c r="AH165" s="36"/>
      <c r="AI165" s="21">
        <f>IF(AM165=0,K165,0)</f>
        <v>0</v>
      </c>
      <c r="AJ165" s="21">
        <f>IF(AM165=15,K165,0)</f>
        <v>0</v>
      </c>
      <c r="AK165" s="21">
        <f>IF(AM165=21,K165,0)</f>
        <v>0</v>
      </c>
      <c r="AM165" s="37">
        <v>21</v>
      </c>
      <c r="AN165" s="37">
        <f>H165*0.888654194327097</f>
        <v>0</v>
      </c>
      <c r="AO165" s="37">
        <f>H165*(1-0.888654194327097)</f>
        <v>0</v>
      </c>
      <c r="AP165" s="38" t="s">
        <v>13</v>
      </c>
      <c r="AU165" s="37">
        <f>AV165+AW165</f>
        <v>0</v>
      </c>
      <c r="AV165" s="37">
        <f>G165*AN165</f>
        <v>0</v>
      </c>
      <c r="AW165" s="37">
        <f>G165*AO165</f>
        <v>0</v>
      </c>
      <c r="AX165" s="40" t="s">
        <v>1073</v>
      </c>
      <c r="AY165" s="40" t="s">
        <v>1116</v>
      </c>
      <c r="AZ165" s="36" t="s">
        <v>1122</v>
      </c>
      <c r="BB165" s="37">
        <f>AV165+AW165</f>
        <v>0</v>
      </c>
      <c r="BC165" s="37">
        <f>H165/(100-BD165)*100</f>
        <v>0</v>
      </c>
      <c r="BD165" s="37">
        <v>0</v>
      </c>
      <c r="BE165" s="37">
        <f>165</f>
        <v>165</v>
      </c>
      <c r="BG165" s="21">
        <f>G165*AN165</f>
        <v>0</v>
      </c>
      <c r="BH165" s="21">
        <f>G165*AO165</f>
        <v>0</v>
      </c>
      <c r="BI165" s="21">
        <f>G165*H165</f>
        <v>0</v>
      </c>
      <c r="BJ165" s="21" t="s">
        <v>1127</v>
      </c>
      <c r="BK165" s="37">
        <v>732</v>
      </c>
    </row>
    <row r="166" spans="1:63" x14ac:dyDescent="0.25">
      <c r="A166" s="4" t="s">
        <v>117</v>
      </c>
      <c r="B166" s="14" t="s">
        <v>415</v>
      </c>
      <c r="C166" s="117" t="s">
        <v>775</v>
      </c>
      <c r="D166" s="118"/>
      <c r="E166" s="118"/>
      <c r="F166" s="14" t="s">
        <v>1024</v>
      </c>
      <c r="G166" s="21">
        <v>2</v>
      </c>
      <c r="H166" s="21">
        <v>0</v>
      </c>
      <c r="I166" s="21">
        <f>G166*AN166</f>
        <v>0</v>
      </c>
      <c r="J166" s="21">
        <f>G166*AO166</f>
        <v>0</v>
      </c>
      <c r="K166" s="21">
        <f>G166*H166</f>
        <v>0</v>
      </c>
      <c r="L166" s="5"/>
      <c r="Y166" s="37">
        <f>IF(AP166="5",BI166,0)</f>
        <v>0</v>
      </c>
      <c r="AA166" s="37">
        <f>IF(AP166="1",BG166,0)</f>
        <v>0</v>
      </c>
      <c r="AB166" s="37">
        <f>IF(AP166="1",BH166,0)</f>
        <v>0</v>
      </c>
      <c r="AC166" s="37">
        <f>IF(AP166="7",BG166,0)</f>
        <v>0</v>
      </c>
      <c r="AD166" s="37">
        <f>IF(AP166="7",BH166,0)</f>
        <v>0</v>
      </c>
      <c r="AE166" s="37">
        <f>IF(AP166="2",BG166,0)</f>
        <v>0</v>
      </c>
      <c r="AF166" s="37">
        <f>IF(AP166="2",BH166,0)</f>
        <v>0</v>
      </c>
      <c r="AG166" s="37">
        <f>IF(AP166="0",BI166,0)</f>
        <v>0</v>
      </c>
      <c r="AH166" s="36"/>
      <c r="AI166" s="21">
        <f>IF(AM166=0,K166,0)</f>
        <v>0</v>
      </c>
      <c r="AJ166" s="21">
        <f>IF(AM166=15,K166,0)</f>
        <v>0</v>
      </c>
      <c r="AK166" s="21">
        <f>IF(AM166=21,K166,0)</f>
        <v>0</v>
      </c>
      <c r="AM166" s="37">
        <v>21</v>
      </c>
      <c r="AN166" s="37">
        <f>H166*0.848208469055375</f>
        <v>0</v>
      </c>
      <c r="AO166" s="37">
        <f>H166*(1-0.848208469055375)</f>
        <v>0</v>
      </c>
      <c r="AP166" s="38" t="s">
        <v>13</v>
      </c>
      <c r="AU166" s="37">
        <f>AV166+AW166</f>
        <v>0</v>
      </c>
      <c r="AV166" s="37">
        <f>G166*AN166</f>
        <v>0</v>
      </c>
      <c r="AW166" s="37">
        <f>G166*AO166</f>
        <v>0</v>
      </c>
      <c r="AX166" s="40" t="s">
        <v>1073</v>
      </c>
      <c r="AY166" s="40" t="s">
        <v>1116</v>
      </c>
      <c r="AZ166" s="36" t="s">
        <v>1122</v>
      </c>
      <c r="BB166" s="37">
        <f>AV166+AW166</f>
        <v>0</v>
      </c>
      <c r="BC166" s="37">
        <f>H166/(100-BD166)*100</f>
        <v>0</v>
      </c>
      <c r="BD166" s="37">
        <v>0</v>
      </c>
      <c r="BE166" s="37">
        <f>166</f>
        <v>166</v>
      </c>
      <c r="BG166" s="21">
        <f>G166*AN166</f>
        <v>0</v>
      </c>
      <c r="BH166" s="21">
        <f>G166*AO166</f>
        <v>0</v>
      </c>
      <c r="BI166" s="21">
        <f>G166*H166</f>
        <v>0</v>
      </c>
      <c r="BJ166" s="21" t="s">
        <v>1127</v>
      </c>
      <c r="BK166" s="37">
        <v>732</v>
      </c>
    </row>
    <row r="167" spans="1:63" x14ac:dyDescent="0.25">
      <c r="A167" s="4" t="s">
        <v>118</v>
      </c>
      <c r="B167" s="14" t="s">
        <v>416</v>
      </c>
      <c r="C167" s="117" t="s">
        <v>776</v>
      </c>
      <c r="D167" s="118"/>
      <c r="E167" s="118"/>
      <c r="F167" s="14" t="s">
        <v>1024</v>
      </c>
      <c r="G167" s="21">
        <v>1</v>
      </c>
      <c r="H167" s="21">
        <v>0</v>
      </c>
      <c r="I167" s="21">
        <f>G167*AN167</f>
        <v>0</v>
      </c>
      <c r="J167" s="21">
        <f>G167*AO167</f>
        <v>0</v>
      </c>
      <c r="K167" s="21">
        <f>G167*H167</f>
        <v>0</v>
      </c>
      <c r="L167" s="5"/>
      <c r="Y167" s="37">
        <f>IF(AP167="5",BI167,0)</f>
        <v>0</v>
      </c>
      <c r="AA167" s="37">
        <f>IF(AP167="1",BG167,0)</f>
        <v>0</v>
      </c>
      <c r="AB167" s="37">
        <f>IF(AP167="1",BH167,0)</f>
        <v>0</v>
      </c>
      <c r="AC167" s="37">
        <f>IF(AP167="7",BG167,0)</f>
        <v>0</v>
      </c>
      <c r="AD167" s="37">
        <f>IF(AP167="7",BH167,0)</f>
        <v>0</v>
      </c>
      <c r="AE167" s="37">
        <f>IF(AP167="2",BG167,0)</f>
        <v>0</v>
      </c>
      <c r="AF167" s="37">
        <f>IF(AP167="2",BH167,0)</f>
        <v>0</v>
      </c>
      <c r="AG167" s="37">
        <f>IF(AP167="0",BI167,0)</f>
        <v>0</v>
      </c>
      <c r="AH167" s="36"/>
      <c r="AI167" s="21">
        <f>IF(AM167=0,K167,0)</f>
        <v>0</v>
      </c>
      <c r="AJ167" s="21">
        <f>IF(AM167=15,K167,0)</f>
        <v>0</v>
      </c>
      <c r="AK167" s="21">
        <f>IF(AM167=21,K167,0)</f>
        <v>0</v>
      </c>
      <c r="AM167" s="37">
        <v>21</v>
      </c>
      <c r="AN167" s="37">
        <f>H167*0.990168063156875</f>
        <v>0</v>
      </c>
      <c r="AO167" s="37">
        <f>H167*(1-0.990168063156875)</f>
        <v>0</v>
      </c>
      <c r="AP167" s="38" t="s">
        <v>13</v>
      </c>
      <c r="AU167" s="37">
        <f>AV167+AW167</f>
        <v>0</v>
      </c>
      <c r="AV167" s="37">
        <f>G167*AN167</f>
        <v>0</v>
      </c>
      <c r="AW167" s="37">
        <f>G167*AO167</f>
        <v>0</v>
      </c>
      <c r="AX167" s="40" t="s">
        <v>1073</v>
      </c>
      <c r="AY167" s="40" t="s">
        <v>1116</v>
      </c>
      <c r="AZ167" s="36" t="s">
        <v>1122</v>
      </c>
      <c r="BB167" s="37">
        <f>AV167+AW167</f>
        <v>0</v>
      </c>
      <c r="BC167" s="37">
        <f>H167/(100-BD167)*100</f>
        <v>0</v>
      </c>
      <c r="BD167" s="37">
        <v>0</v>
      </c>
      <c r="BE167" s="37">
        <f>167</f>
        <v>167</v>
      </c>
      <c r="BG167" s="21">
        <f>G167*AN167</f>
        <v>0</v>
      </c>
      <c r="BH167" s="21">
        <f>G167*AO167</f>
        <v>0</v>
      </c>
      <c r="BI167" s="21">
        <f>G167*H167</f>
        <v>0</v>
      </c>
      <c r="BJ167" s="21" t="s">
        <v>1127</v>
      </c>
      <c r="BK167" s="37">
        <v>732</v>
      </c>
    </row>
    <row r="168" spans="1:63" x14ac:dyDescent="0.25">
      <c r="A168" s="5"/>
      <c r="C168" s="119" t="s">
        <v>777</v>
      </c>
      <c r="D168" s="120"/>
      <c r="E168" s="120"/>
      <c r="G168" s="22">
        <v>1</v>
      </c>
      <c r="L168" s="5"/>
    </row>
    <row r="169" spans="1:63" x14ac:dyDescent="0.25">
      <c r="A169" s="4" t="s">
        <v>119</v>
      </c>
      <c r="B169" s="14" t="s">
        <v>417</v>
      </c>
      <c r="C169" s="117" t="s">
        <v>778</v>
      </c>
      <c r="D169" s="118"/>
      <c r="E169" s="118"/>
      <c r="F169" s="14" t="s">
        <v>1024</v>
      </c>
      <c r="G169" s="21">
        <v>1</v>
      </c>
      <c r="H169" s="21">
        <v>0</v>
      </c>
      <c r="I169" s="21">
        <f>G169*AN169</f>
        <v>0</v>
      </c>
      <c r="J169" s="21">
        <f>G169*AO169</f>
        <v>0</v>
      </c>
      <c r="K169" s="21">
        <f>G169*H169</f>
        <v>0</v>
      </c>
      <c r="L169" s="5"/>
      <c r="Y169" s="37">
        <f>IF(AP169="5",BI169,0)</f>
        <v>0</v>
      </c>
      <c r="AA169" s="37">
        <f>IF(AP169="1",BG169,0)</f>
        <v>0</v>
      </c>
      <c r="AB169" s="37">
        <f>IF(AP169="1",BH169,0)</f>
        <v>0</v>
      </c>
      <c r="AC169" s="37">
        <f>IF(AP169="7",BG169,0)</f>
        <v>0</v>
      </c>
      <c r="AD169" s="37">
        <f>IF(AP169="7",BH169,0)</f>
        <v>0</v>
      </c>
      <c r="AE169" s="37">
        <f>IF(AP169="2",BG169,0)</f>
        <v>0</v>
      </c>
      <c r="AF169" s="37">
        <f>IF(AP169="2",BH169,0)</f>
        <v>0</v>
      </c>
      <c r="AG169" s="37">
        <f>IF(AP169="0",BI169,0)</f>
        <v>0</v>
      </c>
      <c r="AH169" s="36"/>
      <c r="AI169" s="21">
        <f>IF(AM169=0,K169,0)</f>
        <v>0</v>
      </c>
      <c r="AJ169" s="21">
        <f>IF(AM169=15,K169,0)</f>
        <v>0</v>
      </c>
      <c r="AK169" s="21">
        <f>IF(AM169=21,K169,0)</f>
        <v>0</v>
      </c>
      <c r="AM169" s="37">
        <v>21</v>
      </c>
      <c r="AN169" s="37">
        <f>H169*0.948905109489051</f>
        <v>0</v>
      </c>
      <c r="AO169" s="37">
        <f>H169*(1-0.948905109489051)</f>
        <v>0</v>
      </c>
      <c r="AP169" s="38" t="s">
        <v>13</v>
      </c>
      <c r="AU169" s="37">
        <f>AV169+AW169</f>
        <v>0</v>
      </c>
      <c r="AV169" s="37">
        <f>G169*AN169</f>
        <v>0</v>
      </c>
      <c r="AW169" s="37">
        <f>G169*AO169</f>
        <v>0</v>
      </c>
      <c r="AX169" s="40" t="s">
        <v>1073</v>
      </c>
      <c r="AY169" s="40" t="s">
        <v>1116</v>
      </c>
      <c r="AZ169" s="36" t="s">
        <v>1122</v>
      </c>
      <c r="BB169" s="37">
        <f>AV169+AW169</f>
        <v>0</v>
      </c>
      <c r="BC169" s="37">
        <f>H169/(100-BD169)*100</f>
        <v>0</v>
      </c>
      <c r="BD169" s="37">
        <v>0</v>
      </c>
      <c r="BE169" s="37">
        <f>169</f>
        <v>169</v>
      </c>
      <c r="BG169" s="21">
        <f>G169*AN169</f>
        <v>0</v>
      </c>
      <c r="BH169" s="21">
        <f>G169*AO169</f>
        <v>0</v>
      </c>
      <c r="BI169" s="21">
        <f>G169*H169</f>
        <v>0</v>
      </c>
      <c r="BJ169" s="21" t="s">
        <v>1127</v>
      </c>
      <c r="BK169" s="37">
        <v>732</v>
      </c>
    </row>
    <row r="170" spans="1:63" x14ac:dyDescent="0.25">
      <c r="A170" s="4" t="s">
        <v>120</v>
      </c>
      <c r="B170" s="14" t="s">
        <v>418</v>
      </c>
      <c r="C170" s="117" t="s">
        <v>779</v>
      </c>
      <c r="D170" s="118"/>
      <c r="E170" s="118"/>
      <c r="F170" s="14" t="s">
        <v>1024</v>
      </c>
      <c r="G170" s="21">
        <v>1</v>
      </c>
      <c r="H170" s="21">
        <v>0</v>
      </c>
      <c r="I170" s="21">
        <f>G170*AN170</f>
        <v>0</v>
      </c>
      <c r="J170" s="21">
        <f>G170*AO170</f>
        <v>0</v>
      </c>
      <c r="K170" s="21">
        <f>G170*H170</f>
        <v>0</v>
      </c>
      <c r="L170" s="5"/>
      <c r="Y170" s="37">
        <f>IF(AP170="5",BI170,0)</f>
        <v>0</v>
      </c>
      <c r="AA170" s="37">
        <f>IF(AP170="1",BG170,0)</f>
        <v>0</v>
      </c>
      <c r="AB170" s="37">
        <f>IF(AP170="1",BH170,0)</f>
        <v>0</v>
      </c>
      <c r="AC170" s="37">
        <f>IF(AP170="7",BG170,0)</f>
        <v>0</v>
      </c>
      <c r="AD170" s="37">
        <f>IF(AP170="7",BH170,0)</f>
        <v>0</v>
      </c>
      <c r="AE170" s="37">
        <f>IF(AP170="2",BG170,0)</f>
        <v>0</v>
      </c>
      <c r="AF170" s="37">
        <f>IF(AP170="2",BH170,0)</f>
        <v>0</v>
      </c>
      <c r="AG170" s="37">
        <f>IF(AP170="0",BI170,0)</f>
        <v>0</v>
      </c>
      <c r="AH170" s="36"/>
      <c r="AI170" s="21">
        <f>IF(AM170=0,K170,0)</f>
        <v>0</v>
      </c>
      <c r="AJ170" s="21">
        <f>IF(AM170=15,K170,0)</f>
        <v>0</v>
      </c>
      <c r="AK170" s="21">
        <f>IF(AM170=21,K170,0)</f>
        <v>0</v>
      </c>
      <c r="AM170" s="37">
        <v>21</v>
      </c>
      <c r="AN170" s="37">
        <f>H170*0.922215039862099</f>
        <v>0</v>
      </c>
      <c r="AO170" s="37">
        <f>H170*(1-0.922215039862099)</f>
        <v>0</v>
      </c>
      <c r="AP170" s="38" t="s">
        <v>13</v>
      </c>
      <c r="AU170" s="37">
        <f>AV170+AW170</f>
        <v>0</v>
      </c>
      <c r="AV170" s="37">
        <f>G170*AN170</f>
        <v>0</v>
      </c>
      <c r="AW170" s="37">
        <f>G170*AO170</f>
        <v>0</v>
      </c>
      <c r="AX170" s="40" t="s">
        <v>1073</v>
      </c>
      <c r="AY170" s="40" t="s">
        <v>1116</v>
      </c>
      <c r="AZ170" s="36" t="s">
        <v>1122</v>
      </c>
      <c r="BB170" s="37">
        <f>AV170+AW170</f>
        <v>0</v>
      </c>
      <c r="BC170" s="37">
        <f>H170/(100-BD170)*100</f>
        <v>0</v>
      </c>
      <c r="BD170" s="37">
        <v>0</v>
      </c>
      <c r="BE170" s="37">
        <f>170</f>
        <v>170</v>
      </c>
      <c r="BG170" s="21">
        <f>G170*AN170</f>
        <v>0</v>
      </c>
      <c r="BH170" s="21">
        <f>G170*AO170</f>
        <v>0</v>
      </c>
      <c r="BI170" s="21">
        <f>G170*H170</f>
        <v>0</v>
      </c>
      <c r="BJ170" s="21" t="s">
        <v>1127</v>
      </c>
      <c r="BK170" s="37">
        <v>732</v>
      </c>
    </row>
    <row r="171" spans="1:63" x14ac:dyDescent="0.25">
      <c r="A171" s="4" t="s">
        <v>121</v>
      </c>
      <c r="B171" s="14" t="s">
        <v>419</v>
      </c>
      <c r="C171" s="117" t="s">
        <v>780</v>
      </c>
      <c r="D171" s="118"/>
      <c r="E171" s="118"/>
      <c r="F171" s="14" t="s">
        <v>1024</v>
      </c>
      <c r="G171" s="21">
        <v>1</v>
      </c>
      <c r="H171" s="21">
        <v>0</v>
      </c>
      <c r="I171" s="21">
        <f>G171*AN171</f>
        <v>0</v>
      </c>
      <c r="J171" s="21">
        <f>G171*AO171</f>
        <v>0</v>
      </c>
      <c r="K171" s="21">
        <f>G171*H171</f>
        <v>0</v>
      </c>
      <c r="L171" s="5"/>
      <c r="Y171" s="37">
        <f>IF(AP171="5",BI171,0)</f>
        <v>0</v>
      </c>
      <c r="AA171" s="37">
        <f>IF(AP171="1",BG171,0)</f>
        <v>0</v>
      </c>
      <c r="AB171" s="37">
        <f>IF(AP171="1",BH171,0)</f>
        <v>0</v>
      </c>
      <c r="AC171" s="37">
        <f>IF(AP171="7",BG171,0)</f>
        <v>0</v>
      </c>
      <c r="AD171" s="37">
        <f>IF(AP171="7",BH171,0)</f>
        <v>0</v>
      </c>
      <c r="AE171" s="37">
        <f>IF(AP171="2",BG171,0)</f>
        <v>0</v>
      </c>
      <c r="AF171" s="37">
        <f>IF(AP171="2",BH171,0)</f>
        <v>0</v>
      </c>
      <c r="AG171" s="37">
        <f>IF(AP171="0",BI171,0)</f>
        <v>0</v>
      </c>
      <c r="AH171" s="36"/>
      <c r="AI171" s="21">
        <f>IF(AM171=0,K171,0)</f>
        <v>0</v>
      </c>
      <c r="AJ171" s="21">
        <f>IF(AM171=15,K171,0)</f>
        <v>0</v>
      </c>
      <c r="AK171" s="21">
        <f>IF(AM171=21,K171,0)</f>
        <v>0</v>
      </c>
      <c r="AM171" s="37">
        <v>21</v>
      </c>
      <c r="AN171" s="37">
        <f>H171*0.946530147895336</f>
        <v>0</v>
      </c>
      <c r="AO171" s="37">
        <f>H171*(1-0.946530147895336)</f>
        <v>0</v>
      </c>
      <c r="AP171" s="38" t="s">
        <v>13</v>
      </c>
      <c r="AU171" s="37">
        <f>AV171+AW171</f>
        <v>0</v>
      </c>
      <c r="AV171" s="37">
        <f>G171*AN171</f>
        <v>0</v>
      </c>
      <c r="AW171" s="37">
        <f>G171*AO171</f>
        <v>0</v>
      </c>
      <c r="AX171" s="40" t="s">
        <v>1073</v>
      </c>
      <c r="AY171" s="40" t="s">
        <v>1116</v>
      </c>
      <c r="AZ171" s="36" t="s">
        <v>1122</v>
      </c>
      <c r="BB171" s="37">
        <f>AV171+AW171</f>
        <v>0</v>
      </c>
      <c r="BC171" s="37">
        <f>H171/(100-BD171)*100</f>
        <v>0</v>
      </c>
      <c r="BD171" s="37">
        <v>0</v>
      </c>
      <c r="BE171" s="37">
        <f>171</f>
        <v>171</v>
      </c>
      <c r="BG171" s="21">
        <f>G171*AN171</f>
        <v>0</v>
      </c>
      <c r="BH171" s="21">
        <f>G171*AO171</f>
        <v>0</v>
      </c>
      <c r="BI171" s="21">
        <f>G171*H171</f>
        <v>0</v>
      </c>
      <c r="BJ171" s="21" t="s">
        <v>1127</v>
      </c>
      <c r="BK171" s="37">
        <v>732</v>
      </c>
    </row>
    <row r="172" spans="1:63" x14ac:dyDescent="0.25">
      <c r="A172" s="4" t="s">
        <v>122</v>
      </c>
      <c r="B172" s="14" t="s">
        <v>420</v>
      </c>
      <c r="C172" s="117" t="s">
        <v>781</v>
      </c>
      <c r="D172" s="118"/>
      <c r="E172" s="118"/>
      <c r="F172" s="14" t="s">
        <v>1024</v>
      </c>
      <c r="G172" s="21">
        <v>1</v>
      </c>
      <c r="H172" s="21">
        <v>0</v>
      </c>
      <c r="I172" s="21">
        <f>G172*AN172</f>
        <v>0</v>
      </c>
      <c r="J172" s="21">
        <f>G172*AO172</f>
        <v>0</v>
      </c>
      <c r="K172" s="21">
        <f>G172*H172</f>
        <v>0</v>
      </c>
      <c r="L172" s="5"/>
      <c r="Y172" s="37">
        <f>IF(AP172="5",BI172,0)</f>
        <v>0</v>
      </c>
      <c r="AA172" s="37">
        <f>IF(AP172="1",BG172,0)</f>
        <v>0</v>
      </c>
      <c r="AB172" s="37">
        <f>IF(AP172="1",BH172,0)</f>
        <v>0</v>
      </c>
      <c r="AC172" s="37">
        <f>IF(AP172="7",BG172,0)</f>
        <v>0</v>
      </c>
      <c r="AD172" s="37">
        <f>IF(AP172="7",BH172,0)</f>
        <v>0</v>
      </c>
      <c r="AE172" s="37">
        <f>IF(AP172="2",BG172,0)</f>
        <v>0</v>
      </c>
      <c r="AF172" s="37">
        <f>IF(AP172="2",BH172,0)</f>
        <v>0</v>
      </c>
      <c r="AG172" s="37">
        <f>IF(AP172="0",BI172,0)</f>
        <v>0</v>
      </c>
      <c r="AH172" s="36"/>
      <c r="AI172" s="21">
        <f>IF(AM172=0,K172,0)</f>
        <v>0</v>
      </c>
      <c r="AJ172" s="21">
        <f>IF(AM172=15,K172,0)</f>
        <v>0</v>
      </c>
      <c r="AK172" s="21">
        <f>IF(AM172=21,K172,0)</f>
        <v>0</v>
      </c>
      <c r="AM172" s="37">
        <v>21</v>
      </c>
      <c r="AN172" s="37">
        <f>H172*0.970029361254224</f>
        <v>0</v>
      </c>
      <c r="AO172" s="37">
        <f>H172*(1-0.970029361254224)</f>
        <v>0</v>
      </c>
      <c r="AP172" s="38" t="s">
        <v>13</v>
      </c>
      <c r="AU172" s="37">
        <f>AV172+AW172</f>
        <v>0</v>
      </c>
      <c r="AV172" s="37">
        <f>G172*AN172</f>
        <v>0</v>
      </c>
      <c r="AW172" s="37">
        <f>G172*AO172</f>
        <v>0</v>
      </c>
      <c r="AX172" s="40" t="s">
        <v>1073</v>
      </c>
      <c r="AY172" s="40" t="s">
        <v>1116</v>
      </c>
      <c r="AZ172" s="36" t="s">
        <v>1122</v>
      </c>
      <c r="BB172" s="37">
        <f>AV172+AW172</f>
        <v>0</v>
      </c>
      <c r="BC172" s="37">
        <f>H172/(100-BD172)*100</f>
        <v>0</v>
      </c>
      <c r="BD172" s="37">
        <v>0</v>
      </c>
      <c r="BE172" s="37">
        <f>172</f>
        <v>172</v>
      </c>
      <c r="BG172" s="21">
        <f>G172*AN172</f>
        <v>0</v>
      </c>
      <c r="BH172" s="21">
        <f>G172*AO172</f>
        <v>0</v>
      </c>
      <c r="BI172" s="21">
        <f>G172*H172</f>
        <v>0</v>
      </c>
      <c r="BJ172" s="21" t="s">
        <v>1127</v>
      </c>
      <c r="BK172" s="37">
        <v>732</v>
      </c>
    </row>
    <row r="173" spans="1:63" x14ac:dyDescent="0.25">
      <c r="A173" s="5"/>
      <c r="C173" s="119" t="s">
        <v>782</v>
      </c>
      <c r="D173" s="120"/>
      <c r="E173" s="120"/>
      <c r="G173" s="22">
        <v>1</v>
      </c>
      <c r="L173" s="5"/>
    </row>
    <row r="174" spans="1:63" x14ac:dyDescent="0.25">
      <c r="A174" s="7" t="s">
        <v>123</v>
      </c>
      <c r="B174" s="16" t="s">
        <v>421</v>
      </c>
      <c r="C174" s="123" t="s">
        <v>783</v>
      </c>
      <c r="D174" s="124"/>
      <c r="E174" s="124"/>
      <c r="F174" s="16" t="s">
        <v>1024</v>
      </c>
      <c r="G174" s="23">
        <v>1</v>
      </c>
      <c r="H174" s="23">
        <v>0</v>
      </c>
      <c r="I174" s="23">
        <f>G174*AN174</f>
        <v>0</v>
      </c>
      <c r="J174" s="23">
        <f>G174*AO174</f>
        <v>0</v>
      </c>
      <c r="K174" s="23">
        <f t="shared" ref="K174:K179" si="88">G174*H174</f>
        <v>0</v>
      </c>
      <c r="L174" s="5"/>
      <c r="Y174" s="37">
        <f t="shared" ref="Y174:Y179" si="89">IF(AP174="5",BI174,0)</f>
        <v>0</v>
      </c>
      <c r="AA174" s="37">
        <f t="shared" ref="AA174:AA179" si="90">IF(AP174="1",BG174,0)</f>
        <v>0</v>
      </c>
      <c r="AB174" s="37">
        <f t="shared" ref="AB174:AB179" si="91">IF(AP174="1",BH174,0)</f>
        <v>0</v>
      </c>
      <c r="AC174" s="37">
        <f t="shared" ref="AC174:AC179" si="92">IF(AP174="7",BG174,0)</f>
        <v>0</v>
      </c>
      <c r="AD174" s="37">
        <f t="shared" ref="AD174:AD179" si="93">IF(AP174="7",BH174,0)</f>
        <v>0</v>
      </c>
      <c r="AE174" s="37">
        <f t="shared" ref="AE174:AE179" si="94">IF(AP174="2",BG174,0)</f>
        <v>0</v>
      </c>
      <c r="AF174" s="37">
        <f t="shared" ref="AF174:AF179" si="95">IF(AP174="2",BH174,0)</f>
        <v>0</v>
      </c>
      <c r="AG174" s="37">
        <f t="shared" ref="AG174:AG179" si="96">IF(AP174="0",BI174,0)</f>
        <v>0</v>
      </c>
      <c r="AH174" s="36"/>
      <c r="AI174" s="23">
        <f>IF(AM174=0,K174,0)</f>
        <v>0</v>
      </c>
      <c r="AJ174" s="23">
        <f>IF(AM174=15,K174,0)</f>
        <v>0</v>
      </c>
      <c r="AK174" s="23">
        <f>IF(AM174=21,K174,0)</f>
        <v>0</v>
      </c>
      <c r="AM174" s="37">
        <v>21</v>
      </c>
      <c r="AN174" s="37">
        <f>H174*1</f>
        <v>0</v>
      </c>
      <c r="AO174" s="37">
        <f>H174*(1-1)</f>
        <v>0</v>
      </c>
      <c r="AP174" s="39" t="s">
        <v>13</v>
      </c>
      <c r="AU174" s="37">
        <f t="shared" ref="AU174:AU179" si="97">AV174+AW174</f>
        <v>0</v>
      </c>
      <c r="AV174" s="37">
        <f>G174*AN174</f>
        <v>0</v>
      </c>
      <c r="AW174" s="37">
        <f>G174*AO174</f>
        <v>0</v>
      </c>
      <c r="AX174" s="40" t="s">
        <v>1073</v>
      </c>
      <c r="AY174" s="40" t="s">
        <v>1116</v>
      </c>
      <c r="AZ174" s="36" t="s">
        <v>1122</v>
      </c>
      <c r="BB174" s="37">
        <f t="shared" ref="BB174:BB179" si="98">AV174+AW174</f>
        <v>0</v>
      </c>
      <c r="BC174" s="37">
        <f>H174/(100-BD174)*100</f>
        <v>0</v>
      </c>
      <c r="BD174" s="37">
        <v>0</v>
      </c>
      <c r="BE174" s="37">
        <f>174</f>
        <v>174</v>
      </c>
      <c r="BG174" s="23">
        <f>G174*AN174</f>
        <v>0</v>
      </c>
      <c r="BH174" s="23">
        <f>G174*AO174</f>
        <v>0</v>
      </c>
      <c r="BI174" s="23">
        <f>G174*H174</f>
        <v>0</v>
      </c>
      <c r="BJ174" s="23" t="s">
        <v>1128</v>
      </c>
      <c r="BK174" s="37">
        <v>732</v>
      </c>
    </row>
    <row r="175" spans="1:63" x14ac:dyDescent="0.25">
      <c r="A175" s="4" t="s">
        <v>124</v>
      </c>
      <c r="B175" s="14" t="s">
        <v>412</v>
      </c>
      <c r="C175" s="117" t="s">
        <v>784</v>
      </c>
      <c r="D175" s="118"/>
      <c r="E175" s="118"/>
      <c r="F175" s="14" t="s">
        <v>1024</v>
      </c>
      <c r="G175" s="21">
        <v>1</v>
      </c>
      <c r="H175" s="21">
        <v>0</v>
      </c>
      <c r="I175" s="21">
        <f>G175*AN175</f>
        <v>0</v>
      </c>
      <c r="J175" s="21">
        <f>G175*AO175</f>
        <v>0</v>
      </c>
      <c r="K175" s="21">
        <f t="shared" si="88"/>
        <v>0</v>
      </c>
      <c r="L175" s="5"/>
      <c r="Y175" s="37">
        <f t="shared" si="89"/>
        <v>0</v>
      </c>
      <c r="AA175" s="37">
        <f t="shared" si="90"/>
        <v>0</v>
      </c>
      <c r="AB175" s="37">
        <f t="shared" si="91"/>
        <v>0</v>
      </c>
      <c r="AC175" s="37">
        <f t="shared" si="92"/>
        <v>0</v>
      </c>
      <c r="AD175" s="37">
        <f t="shared" si="93"/>
        <v>0</v>
      </c>
      <c r="AE175" s="37">
        <f t="shared" si="94"/>
        <v>0</v>
      </c>
      <c r="AF175" s="37">
        <f t="shared" si="95"/>
        <v>0</v>
      </c>
      <c r="AG175" s="37">
        <f t="shared" si="96"/>
        <v>0</v>
      </c>
      <c r="AH175" s="36"/>
      <c r="AI175" s="21">
        <f>IF(AM175=0,K175,0)</f>
        <v>0</v>
      </c>
      <c r="AJ175" s="21">
        <f>IF(AM175=15,K175,0)</f>
        <v>0</v>
      </c>
      <c r="AK175" s="21">
        <f>IF(AM175=21,K175,0)</f>
        <v>0</v>
      </c>
      <c r="AM175" s="37">
        <v>21</v>
      </c>
      <c r="AN175" s="37">
        <f>H175*0.0424120603015075</f>
        <v>0</v>
      </c>
      <c r="AO175" s="37">
        <f>H175*(1-0.0424120603015075)</f>
        <v>0</v>
      </c>
      <c r="AP175" s="38" t="s">
        <v>13</v>
      </c>
      <c r="AU175" s="37">
        <f t="shared" si="97"/>
        <v>0</v>
      </c>
      <c r="AV175" s="37">
        <f>G175*AN175</f>
        <v>0</v>
      </c>
      <c r="AW175" s="37">
        <f>G175*AO175</f>
        <v>0</v>
      </c>
      <c r="AX175" s="40" t="s">
        <v>1073</v>
      </c>
      <c r="AY175" s="40" t="s">
        <v>1116</v>
      </c>
      <c r="AZ175" s="36" t="s">
        <v>1122</v>
      </c>
      <c r="BB175" s="37">
        <f t="shared" si="98"/>
        <v>0</v>
      </c>
      <c r="BC175" s="37">
        <f>H175/(100-BD175)*100</f>
        <v>0</v>
      </c>
      <c r="BD175" s="37">
        <v>0</v>
      </c>
      <c r="BE175" s="37">
        <f>175</f>
        <v>175</v>
      </c>
      <c r="BG175" s="21">
        <f>G175*AN175</f>
        <v>0</v>
      </c>
      <c r="BH175" s="21">
        <f>G175*AO175</f>
        <v>0</v>
      </c>
      <c r="BI175" s="21">
        <f>G175*H175</f>
        <v>0</v>
      </c>
      <c r="BJ175" s="21" t="s">
        <v>1127</v>
      </c>
      <c r="BK175" s="37">
        <v>732</v>
      </c>
    </row>
    <row r="176" spans="1:63" x14ac:dyDescent="0.25">
      <c r="A176" s="4" t="s">
        <v>125</v>
      </c>
      <c r="B176" s="14" t="s">
        <v>422</v>
      </c>
      <c r="C176" s="117" t="s">
        <v>785</v>
      </c>
      <c r="D176" s="118"/>
      <c r="E176" s="118"/>
      <c r="F176" s="14" t="s">
        <v>1024</v>
      </c>
      <c r="G176" s="21">
        <v>1</v>
      </c>
      <c r="H176" s="21">
        <v>0</v>
      </c>
      <c r="I176" s="21">
        <f>G176*AN176</f>
        <v>0</v>
      </c>
      <c r="J176" s="21">
        <f>G176*AO176</f>
        <v>0</v>
      </c>
      <c r="K176" s="21">
        <f t="shared" si="88"/>
        <v>0</v>
      </c>
      <c r="L176" s="5"/>
      <c r="Y176" s="37">
        <f t="shared" si="89"/>
        <v>0</v>
      </c>
      <c r="AA176" s="37">
        <f t="shared" si="90"/>
        <v>0</v>
      </c>
      <c r="AB176" s="37">
        <f t="shared" si="91"/>
        <v>0</v>
      </c>
      <c r="AC176" s="37">
        <f t="shared" si="92"/>
        <v>0</v>
      </c>
      <c r="AD176" s="37">
        <f t="shared" si="93"/>
        <v>0</v>
      </c>
      <c r="AE176" s="37">
        <f t="shared" si="94"/>
        <v>0</v>
      </c>
      <c r="AF176" s="37">
        <f t="shared" si="95"/>
        <v>0</v>
      </c>
      <c r="AG176" s="37">
        <f t="shared" si="96"/>
        <v>0</v>
      </c>
      <c r="AH176" s="36"/>
      <c r="AI176" s="21">
        <f>IF(AM176=0,K176,0)</f>
        <v>0</v>
      </c>
      <c r="AJ176" s="21">
        <f>IF(AM176=15,K176,0)</f>
        <v>0</v>
      </c>
      <c r="AK176" s="21">
        <f>IF(AM176=21,K176,0)</f>
        <v>0</v>
      </c>
      <c r="AM176" s="37">
        <v>21</v>
      </c>
      <c r="AN176" s="37">
        <f>H176*0.0432820512820513</f>
        <v>0</v>
      </c>
      <c r="AO176" s="37">
        <f>H176*(1-0.0432820512820513)</f>
        <v>0</v>
      </c>
      <c r="AP176" s="38" t="s">
        <v>13</v>
      </c>
      <c r="AU176" s="37">
        <f t="shared" si="97"/>
        <v>0</v>
      </c>
      <c r="AV176" s="37">
        <f>G176*AN176</f>
        <v>0</v>
      </c>
      <c r="AW176" s="37">
        <f>G176*AO176</f>
        <v>0</v>
      </c>
      <c r="AX176" s="40" t="s">
        <v>1073</v>
      </c>
      <c r="AY176" s="40" t="s">
        <v>1116</v>
      </c>
      <c r="AZ176" s="36" t="s">
        <v>1122</v>
      </c>
      <c r="BB176" s="37">
        <f t="shared" si="98"/>
        <v>0</v>
      </c>
      <c r="BC176" s="37">
        <f>H176/(100-BD176)*100</f>
        <v>0</v>
      </c>
      <c r="BD176" s="37">
        <v>0</v>
      </c>
      <c r="BE176" s="37">
        <f>176</f>
        <v>176</v>
      </c>
      <c r="BG176" s="21">
        <f>G176*AN176</f>
        <v>0</v>
      </c>
      <c r="BH176" s="21">
        <f>G176*AO176</f>
        <v>0</v>
      </c>
      <c r="BI176" s="21">
        <f>G176*H176</f>
        <v>0</v>
      </c>
      <c r="BJ176" s="21" t="s">
        <v>1127</v>
      </c>
      <c r="BK176" s="37">
        <v>732</v>
      </c>
    </row>
    <row r="177" spans="1:63" x14ac:dyDescent="0.25">
      <c r="A177" s="4" t="s">
        <v>126</v>
      </c>
      <c r="B177" s="14" t="s">
        <v>423</v>
      </c>
      <c r="C177" s="117" t="s">
        <v>786</v>
      </c>
      <c r="D177" s="118"/>
      <c r="E177" s="118"/>
      <c r="F177" s="14" t="s">
        <v>1024</v>
      </c>
      <c r="G177" s="21">
        <v>2</v>
      </c>
      <c r="H177" s="21">
        <v>0</v>
      </c>
      <c r="I177" s="21">
        <f>G177*AN177</f>
        <v>0</v>
      </c>
      <c r="J177" s="21">
        <f>G177*AO177</f>
        <v>0</v>
      </c>
      <c r="K177" s="21">
        <f t="shared" si="88"/>
        <v>0</v>
      </c>
      <c r="L177" s="5"/>
      <c r="Y177" s="37">
        <f t="shared" si="89"/>
        <v>0</v>
      </c>
      <c r="AA177" s="37">
        <f t="shared" si="90"/>
        <v>0</v>
      </c>
      <c r="AB177" s="37">
        <f t="shared" si="91"/>
        <v>0</v>
      </c>
      <c r="AC177" s="37">
        <f t="shared" si="92"/>
        <v>0</v>
      </c>
      <c r="AD177" s="37">
        <f t="shared" si="93"/>
        <v>0</v>
      </c>
      <c r="AE177" s="37">
        <f t="shared" si="94"/>
        <v>0</v>
      </c>
      <c r="AF177" s="37">
        <f t="shared" si="95"/>
        <v>0</v>
      </c>
      <c r="AG177" s="37">
        <f t="shared" si="96"/>
        <v>0</v>
      </c>
      <c r="AH177" s="36"/>
      <c r="AI177" s="21">
        <f>IF(AM177=0,K177,0)</f>
        <v>0</v>
      </c>
      <c r="AJ177" s="21">
        <f>IF(AM177=15,K177,0)</f>
        <v>0</v>
      </c>
      <c r="AK177" s="21">
        <f>IF(AM177=21,K177,0)</f>
        <v>0</v>
      </c>
      <c r="AM177" s="37">
        <v>21</v>
      </c>
      <c r="AN177" s="37">
        <f>H177*0.989312977099237</f>
        <v>0</v>
      </c>
      <c r="AO177" s="37">
        <f>H177*(1-0.989312977099237)</f>
        <v>0</v>
      </c>
      <c r="AP177" s="38" t="s">
        <v>13</v>
      </c>
      <c r="AU177" s="37">
        <f t="shared" si="97"/>
        <v>0</v>
      </c>
      <c r="AV177" s="37">
        <f>G177*AN177</f>
        <v>0</v>
      </c>
      <c r="AW177" s="37">
        <f>G177*AO177</f>
        <v>0</v>
      </c>
      <c r="AX177" s="40" t="s">
        <v>1073</v>
      </c>
      <c r="AY177" s="40" t="s">
        <v>1116</v>
      </c>
      <c r="AZ177" s="36" t="s">
        <v>1122</v>
      </c>
      <c r="BB177" s="37">
        <f t="shared" si="98"/>
        <v>0</v>
      </c>
      <c r="BC177" s="37">
        <f>H177/(100-BD177)*100</f>
        <v>0</v>
      </c>
      <c r="BD177" s="37">
        <v>0</v>
      </c>
      <c r="BE177" s="37">
        <f>177</f>
        <v>177</v>
      </c>
      <c r="BG177" s="21">
        <f>G177*AN177</f>
        <v>0</v>
      </c>
      <c r="BH177" s="21">
        <f>G177*AO177</f>
        <v>0</v>
      </c>
      <c r="BI177" s="21">
        <f>G177*H177</f>
        <v>0</v>
      </c>
      <c r="BJ177" s="21" t="s">
        <v>1127</v>
      </c>
      <c r="BK177" s="37">
        <v>732</v>
      </c>
    </row>
    <row r="178" spans="1:63" x14ac:dyDescent="0.25">
      <c r="A178" s="4" t="s">
        <v>127</v>
      </c>
      <c r="B178" s="14" t="s">
        <v>424</v>
      </c>
      <c r="C178" s="117" t="s">
        <v>787</v>
      </c>
      <c r="D178" s="118"/>
      <c r="E178" s="118"/>
      <c r="F178" s="14" t="s">
        <v>1024</v>
      </c>
      <c r="G178" s="21">
        <v>1</v>
      </c>
      <c r="H178" s="21">
        <v>0</v>
      </c>
      <c r="I178" s="21">
        <f>G178*AN178</f>
        <v>0</v>
      </c>
      <c r="J178" s="21">
        <f>G178*AO178</f>
        <v>0</v>
      </c>
      <c r="K178" s="21">
        <f t="shared" si="88"/>
        <v>0</v>
      </c>
      <c r="L178" s="5"/>
      <c r="Y178" s="37">
        <f t="shared" si="89"/>
        <v>0</v>
      </c>
      <c r="AA178" s="37">
        <f t="shared" si="90"/>
        <v>0</v>
      </c>
      <c r="AB178" s="37">
        <f t="shared" si="91"/>
        <v>0</v>
      </c>
      <c r="AC178" s="37">
        <f t="shared" si="92"/>
        <v>0</v>
      </c>
      <c r="AD178" s="37">
        <f t="shared" si="93"/>
        <v>0</v>
      </c>
      <c r="AE178" s="37">
        <f t="shared" si="94"/>
        <v>0</v>
      </c>
      <c r="AF178" s="37">
        <f t="shared" si="95"/>
        <v>0</v>
      </c>
      <c r="AG178" s="37">
        <f t="shared" si="96"/>
        <v>0</v>
      </c>
      <c r="AH178" s="36"/>
      <c r="AI178" s="21">
        <f>IF(AM178=0,K178,0)</f>
        <v>0</v>
      </c>
      <c r="AJ178" s="21">
        <f>IF(AM178=15,K178,0)</f>
        <v>0</v>
      </c>
      <c r="AK178" s="21">
        <f>IF(AM178=21,K178,0)</f>
        <v>0</v>
      </c>
      <c r="AM178" s="37">
        <v>21</v>
      </c>
      <c r="AN178" s="37">
        <f>H178*0.994446596926256</f>
        <v>0</v>
      </c>
      <c r="AO178" s="37">
        <f>H178*(1-0.994446596926256)</f>
        <v>0</v>
      </c>
      <c r="AP178" s="38" t="s">
        <v>13</v>
      </c>
      <c r="AU178" s="37">
        <f t="shared" si="97"/>
        <v>0</v>
      </c>
      <c r="AV178" s="37">
        <f>G178*AN178</f>
        <v>0</v>
      </c>
      <c r="AW178" s="37">
        <f>G178*AO178</f>
        <v>0</v>
      </c>
      <c r="AX178" s="40" t="s">
        <v>1073</v>
      </c>
      <c r="AY178" s="40" t="s">
        <v>1116</v>
      </c>
      <c r="AZ178" s="36" t="s">
        <v>1122</v>
      </c>
      <c r="BB178" s="37">
        <f t="shared" si="98"/>
        <v>0</v>
      </c>
      <c r="BC178" s="37">
        <f>H178/(100-BD178)*100</f>
        <v>0</v>
      </c>
      <c r="BD178" s="37">
        <v>0</v>
      </c>
      <c r="BE178" s="37">
        <f>178</f>
        <v>178</v>
      </c>
      <c r="BG178" s="21">
        <f>G178*AN178</f>
        <v>0</v>
      </c>
      <c r="BH178" s="21">
        <f>G178*AO178</f>
        <v>0</v>
      </c>
      <c r="BI178" s="21">
        <f>G178*H178</f>
        <v>0</v>
      </c>
      <c r="BJ178" s="21" t="s">
        <v>1127</v>
      </c>
      <c r="BK178" s="37">
        <v>732</v>
      </c>
    </row>
    <row r="179" spans="1:63" x14ac:dyDescent="0.25">
      <c r="A179" s="4" t="s">
        <v>128</v>
      </c>
      <c r="B179" s="14" t="s">
        <v>424</v>
      </c>
      <c r="C179" s="117" t="s">
        <v>788</v>
      </c>
      <c r="D179" s="118"/>
      <c r="E179" s="118"/>
      <c r="F179" s="14" t="s">
        <v>1024</v>
      </c>
      <c r="G179" s="21">
        <v>1</v>
      </c>
      <c r="H179" s="21">
        <v>0</v>
      </c>
      <c r="I179" s="21">
        <f>G179*AN179</f>
        <v>0</v>
      </c>
      <c r="J179" s="21">
        <f>G179*AO179</f>
        <v>0</v>
      </c>
      <c r="K179" s="21">
        <f t="shared" si="88"/>
        <v>0</v>
      </c>
      <c r="L179" s="5"/>
      <c r="Y179" s="37">
        <f t="shared" si="89"/>
        <v>0</v>
      </c>
      <c r="AA179" s="37">
        <f t="shared" si="90"/>
        <v>0</v>
      </c>
      <c r="AB179" s="37">
        <f t="shared" si="91"/>
        <v>0</v>
      </c>
      <c r="AC179" s="37">
        <f t="shared" si="92"/>
        <v>0</v>
      </c>
      <c r="AD179" s="37">
        <f t="shared" si="93"/>
        <v>0</v>
      </c>
      <c r="AE179" s="37">
        <f t="shared" si="94"/>
        <v>0</v>
      </c>
      <c r="AF179" s="37">
        <f t="shared" si="95"/>
        <v>0</v>
      </c>
      <c r="AG179" s="37">
        <f t="shared" si="96"/>
        <v>0</v>
      </c>
      <c r="AH179" s="36"/>
      <c r="AI179" s="21">
        <f>IF(AM179=0,K179,0)</f>
        <v>0</v>
      </c>
      <c r="AJ179" s="21">
        <f>IF(AM179=15,K179,0)</f>
        <v>0</v>
      </c>
      <c r="AK179" s="21">
        <f>IF(AM179=21,K179,0)</f>
        <v>0</v>
      </c>
      <c r="AM179" s="37">
        <v>21</v>
      </c>
      <c r="AN179" s="37">
        <f>H179*0.288650137741047</f>
        <v>0</v>
      </c>
      <c r="AO179" s="37">
        <f>H179*(1-0.288650137741047)</f>
        <v>0</v>
      </c>
      <c r="AP179" s="38" t="s">
        <v>13</v>
      </c>
      <c r="AU179" s="37">
        <f t="shared" si="97"/>
        <v>0</v>
      </c>
      <c r="AV179" s="37">
        <f>G179*AN179</f>
        <v>0</v>
      </c>
      <c r="AW179" s="37">
        <f>G179*AO179</f>
        <v>0</v>
      </c>
      <c r="AX179" s="40" t="s">
        <v>1073</v>
      </c>
      <c r="AY179" s="40" t="s">
        <v>1116</v>
      </c>
      <c r="AZ179" s="36" t="s">
        <v>1122</v>
      </c>
      <c r="BB179" s="37">
        <f t="shared" si="98"/>
        <v>0</v>
      </c>
      <c r="BC179" s="37">
        <f>H179/(100-BD179)*100</f>
        <v>0</v>
      </c>
      <c r="BD179" s="37">
        <v>0</v>
      </c>
      <c r="BE179" s="37">
        <f>179</f>
        <v>179</v>
      </c>
      <c r="BG179" s="21">
        <f>G179*AN179</f>
        <v>0</v>
      </c>
      <c r="BH179" s="21">
        <f>G179*AO179</f>
        <v>0</v>
      </c>
      <c r="BI179" s="21">
        <f>G179*H179</f>
        <v>0</v>
      </c>
      <c r="BJ179" s="21" t="s">
        <v>1127</v>
      </c>
      <c r="BK179" s="37">
        <v>732</v>
      </c>
    </row>
    <row r="180" spans="1:63" x14ac:dyDescent="0.25">
      <c r="A180" s="6"/>
      <c r="B180" s="15" t="s">
        <v>425</v>
      </c>
      <c r="C180" s="121" t="s">
        <v>789</v>
      </c>
      <c r="D180" s="122"/>
      <c r="E180" s="122"/>
      <c r="F180" s="19" t="s">
        <v>6</v>
      </c>
      <c r="G180" s="19" t="s">
        <v>6</v>
      </c>
      <c r="H180" s="19" t="s">
        <v>6</v>
      </c>
      <c r="I180" s="43">
        <f>SUM(I181:I188)</f>
        <v>0</v>
      </c>
      <c r="J180" s="43">
        <f>SUM(J181:J188)</f>
        <v>0</v>
      </c>
      <c r="K180" s="43">
        <f>SUM(K181:K188)</f>
        <v>0</v>
      </c>
      <c r="L180" s="5"/>
      <c r="AH180" s="36"/>
      <c r="AR180" s="43">
        <f>SUM(AI181:AI188)</f>
        <v>0</v>
      </c>
      <c r="AS180" s="43">
        <f>SUM(AJ181:AJ188)</f>
        <v>0</v>
      </c>
      <c r="AT180" s="43">
        <f>SUM(AK181:AK188)</f>
        <v>0</v>
      </c>
    </row>
    <row r="181" spans="1:63" x14ac:dyDescent="0.25">
      <c r="A181" s="4" t="s">
        <v>129</v>
      </c>
      <c r="B181" s="14" t="s">
        <v>426</v>
      </c>
      <c r="C181" s="117" t="s">
        <v>790</v>
      </c>
      <c r="D181" s="118"/>
      <c r="E181" s="118"/>
      <c r="F181" s="14" t="s">
        <v>1026</v>
      </c>
      <c r="G181" s="21">
        <v>10</v>
      </c>
      <c r="H181" s="21">
        <v>0</v>
      </c>
      <c r="I181" s="21">
        <f>G181*AN181</f>
        <v>0</v>
      </c>
      <c r="J181" s="21">
        <f>G181*AO181</f>
        <v>0</v>
      </c>
      <c r="K181" s="21">
        <f t="shared" ref="K181:K188" si="99">G181*H181</f>
        <v>0</v>
      </c>
      <c r="L181" s="5"/>
      <c r="Y181" s="37">
        <f t="shared" ref="Y181:Y188" si="100">IF(AP181="5",BI181,0)</f>
        <v>0</v>
      </c>
      <c r="AA181" s="37">
        <f t="shared" ref="AA181:AA188" si="101">IF(AP181="1",BG181,0)</f>
        <v>0</v>
      </c>
      <c r="AB181" s="37">
        <f t="shared" ref="AB181:AB188" si="102">IF(AP181="1",BH181,0)</f>
        <v>0</v>
      </c>
      <c r="AC181" s="37">
        <f t="shared" ref="AC181:AC188" si="103">IF(AP181="7",BG181,0)</f>
        <v>0</v>
      </c>
      <c r="AD181" s="37">
        <f t="shared" ref="AD181:AD188" si="104">IF(AP181="7",BH181,0)</f>
        <v>0</v>
      </c>
      <c r="AE181" s="37">
        <f t="shared" ref="AE181:AE188" si="105">IF(AP181="2",BG181,0)</f>
        <v>0</v>
      </c>
      <c r="AF181" s="37">
        <f t="shared" ref="AF181:AF188" si="106">IF(AP181="2",BH181,0)</f>
        <v>0</v>
      </c>
      <c r="AG181" s="37">
        <f t="shared" ref="AG181:AG188" si="107">IF(AP181="0",BI181,0)</f>
        <v>0</v>
      </c>
      <c r="AH181" s="36"/>
      <c r="AI181" s="21">
        <f>IF(AM181=0,K181,0)</f>
        <v>0</v>
      </c>
      <c r="AJ181" s="21">
        <f>IF(AM181=15,K181,0)</f>
        <v>0</v>
      </c>
      <c r="AK181" s="21">
        <f>IF(AM181=21,K181,0)</f>
        <v>0</v>
      </c>
      <c r="AM181" s="37">
        <v>21</v>
      </c>
      <c r="AN181" s="37">
        <f>H181*0.165055387713998</f>
        <v>0</v>
      </c>
      <c r="AO181" s="37">
        <f>H181*(1-0.165055387713998)</f>
        <v>0</v>
      </c>
      <c r="AP181" s="38" t="s">
        <v>13</v>
      </c>
      <c r="AU181" s="37">
        <f t="shared" ref="AU181:AU188" si="108">AV181+AW181</f>
        <v>0</v>
      </c>
      <c r="AV181" s="37">
        <f>G181*AN181</f>
        <v>0</v>
      </c>
      <c r="AW181" s="37">
        <f>G181*AO181</f>
        <v>0</v>
      </c>
      <c r="AX181" s="40" t="s">
        <v>1074</v>
      </c>
      <c r="AY181" s="40" t="s">
        <v>1116</v>
      </c>
      <c r="AZ181" s="36" t="s">
        <v>1122</v>
      </c>
      <c r="BB181" s="37">
        <f t="shared" ref="BB181:BB188" si="109">AV181+AW181</f>
        <v>0</v>
      </c>
      <c r="BC181" s="37">
        <f>H181/(100-BD181)*100</f>
        <v>0</v>
      </c>
      <c r="BD181" s="37">
        <v>0</v>
      </c>
      <c r="BE181" s="37">
        <f>181</f>
        <v>181</v>
      </c>
      <c r="BG181" s="21">
        <f>G181*AN181</f>
        <v>0</v>
      </c>
      <c r="BH181" s="21">
        <f>G181*AO181</f>
        <v>0</v>
      </c>
      <c r="BI181" s="21">
        <f>G181*H181</f>
        <v>0</v>
      </c>
      <c r="BJ181" s="21" t="s">
        <v>1127</v>
      </c>
      <c r="BK181" s="37">
        <v>733</v>
      </c>
    </row>
    <row r="182" spans="1:63" x14ac:dyDescent="0.25">
      <c r="A182" s="4" t="s">
        <v>130</v>
      </c>
      <c r="B182" s="14" t="s">
        <v>427</v>
      </c>
      <c r="C182" s="117" t="s">
        <v>791</v>
      </c>
      <c r="D182" s="118"/>
      <c r="E182" s="118"/>
      <c r="F182" s="14" t="s">
        <v>1026</v>
      </c>
      <c r="G182" s="21">
        <v>10</v>
      </c>
      <c r="H182" s="21">
        <v>0</v>
      </c>
      <c r="I182" s="21">
        <f>G182*AN182</f>
        <v>0</v>
      </c>
      <c r="J182" s="21">
        <f>G182*AO182</f>
        <v>0</v>
      </c>
      <c r="K182" s="21">
        <f t="shared" si="99"/>
        <v>0</v>
      </c>
      <c r="L182" s="5"/>
      <c r="Y182" s="37">
        <f t="shared" si="100"/>
        <v>0</v>
      </c>
      <c r="AA182" s="37">
        <f t="shared" si="101"/>
        <v>0</v>
      </c>
      <c r="AB182" s="37">
        <f t="shared" si="102"/>
        <v>0</v>
      </c>
      <c r="AC182" s="37">
        <f t="shared" si="103"/>
        <v>0</v>
      </c>
      <c r="AD182" s="37">
        <f t="shared" si="104"/>
        <v>0</v>
      </c>
      <c r="AE182" s="37">
        <f t="shared" si="105"/>
        <v>0</v>
      </c>
      <c r="AF182" s="37">
        <f t="shared" si="106"/>
        <v>0</v>
      </c>
      <c r="AG182" s="37">
        <f t="shared" si="107"/>
        <v>0</v>
      </c>
      <c r="AH182" s="36"/>
      <c r="AI182" s="21">
        <f>IF(AM182=0,K182,0)</f>
        <v>0</v>
      </c>
      <c r="AJ182" s="21">
        <f>IF(AM182=15,K182,0)</f>
        <v>0</v>
      </c>
      <c r="AK182" s="21">
        <f>IF(AM182=21,K182,0)</f>
        <v>0</v>
      </c>
      <c r="AM182" s="37">
        <v>21</v>
      </c>
      <c r="AN182" s="37">
        <f>H182*0.164893617021277</f>
        <v>0</v>
      </c>
      <c r="AO182" s="37">
        <f>H182*(1-0.164893617021277)</f>
        <v>0</v>
      </c>
      <c r="AP182" s="38" t="s">
        <v>13</v>
      </c>
      <c r="AU182" s="37">
        <f t="shared" si="108"/>
        <v>0</v>
      </c>
      <c r="AV182" s="37">
        <f>G182*AN182</f>
        <v>0</v>
      </c>
      <c r="AW182" s="37">
        <f>G182*AO182</f>
        <v>0</v>
      </c>
      <c r="AX182" s="40" t="s">
        <v>1074</v>
      </c>
      <c r="AY182" s="40" t="s">
        <v>1116</v>
      </c>
      <c r="AZ182" s="36" t="s">
        <v>1122</v>
      </c>
      <c r="BB182" s="37">
        <f t="shared" si="109"/>
        <v>0</v>
      </c>
      <c r="BC182" s="37">
        <f>H182/(100-BD182)*100</f>
        <v>0</v>
      </c>
      <c r="BD182" s="37">
        <v>0</v>
      </c>
      <c r="BE182" s="37">
        <f>182</f>
        <v>182</v>
      </c>
      <c r="BG182" s="21">
        <f>G182*AN182</f>
        <v>0</v>
      </c>
      <c r="BH182" s="21">
        <f>G182*AO182</f>
        <v>0</v>
      </c>
      <c r="BI182" s="21">
        <f>G182*H182</f>
        <v>0</v>
      </c>
      <c r="BJ182" s="21" t="s">
        <v>1127</v>
      </c>
      <c r="BK182" s="37">
        <v>733</v>
      </c>
    </row>
    <row r="183" spans="1:63" x14ac:dyDescent="0.25">
      <c r="A183" s="4" t="s">
        <v>131</v>
      </c>
      <c r="B183" s="14" t="s">
        <v>428</v>
      </c>
      <c r="C183" s="117" t="s">
        <v>792</v>
      </c>
      <c r="D183" s="118"/>
      <c r="E183" s="118"/>
      <c r="F183" s="14" t="s">
        <v>1026</v>
      </c>
      <c r="G183" s="21">
        <v>12</v>
      </c>
      <c r="H183" s="21">
        <v>0</v>
      </c>
      <c r="I183" s="21">
        <f>G183*AN183</f>
        <v>0</v>
      </c>
      <c r="J183" s="21">
        <f>G183*AO183</f>
        <v>0</v>
      </c>
      <c r="K183" s="21">
        <f t="shared" si="99"/>
        <v>0</v>
      </c>
      <c r="L183" s="5"/>
      <c r="Y183" s="37">
        <f t="shared" si="100"/>
        <v>0</v>
      </c>
      <c r="AA183" s="37">
        <f t="shared" si="101"/>
        <v>0</v>
      </c>
      <c r="AB183" s="37">
        <f t="shared" si="102"/>
        <v>0</v>
      </c>
      <c r="AC183" s="37">
        <f t="shared" si="103"/>
        <v>0</v>
      </c>
      <c r="AD183" s="37">
        <f t="shared" si="104"/>
        <v>0</v>
      </c>
      <c r="AE183" s="37">
        <f t="shared" si="105"/>
        <v>0</v>
      </c>
      <c r="AF183" s="37">
        <f t="shared" si="106"/>
        <v>0</v>
      </c>
      <c r="AG183" s="37">
        <f t="shared" si="107"/>
        <v>0</v>
      </c>
      <c r="AH183" s="36"/>
      <c r="AI183" s="21">
        <f>IF(AM183=0,K183,0)</f>
        <v>0</v>
      </c>
      <c r="AJ183" s="21">
        <f>IF(AM183=15,K183,0)</f>
        <v>0</v>
      </c>
      <c r="AK183" s="21">
        <f>IF(AM183=21,K183,0)</f>
        <v>0</v>
      </c>
      <c r="AM183" s="37">
        <v>21</v>
      </c>
      <c r="AN183" s="37">
        <f>H183*0.546003879728419</f>
        <v>0</v>
      </c>
      <c r="AO183" s="37">
        <f>H183*(1-0.546003879728419)</f>
        <v>0</v>
      </c>
      <c r="AP183" s="38" t="s">
        <v>13</v>
      </c>
      <c r="AU183" s="37">
        <f t="shared" si="108"/>
        <v>0</v>
      </c>
      <c r="AV183" s="37">
        <f>G183*AN183</f>
        <v>0</v>
      </c>
      <c r="AW183" s="37">
        <f>G183*AO183</f>
        <v>0</v>
      </c>
      <c r="AX183" s="40" t="s">
        <v>1074</v>
      </c>
      <c r="AY183" s="40" t="s">
        <v>1116</v>
      </c>
      <c r="AZ183" s="36" t="s">
        <v>1122</v>
      </c>
      <c r="BB183" s="37">
        <f t="shared" si="109"/>
        <v>0</v>
      </c>
      <c r="BC183" s="37">
        <f>H183/(100-BD183)*100</f>
        <v>0</v>
      </c>
      <c r="BD183" s="37">
        <v>0</v>
      </c>
      <c r="BE183" s="37">
        <f>183</f>
        <v>183</v>
      </c>
      <c r="BG183" s="21">
        <f>G183*AN183</f>
        <v>0</v>
      </c>
      <c r="BH183" s="21">
        <f>G183*AO183</f>
        <v>0</v>
      </c>
      <c r="BI183" s="21">
        <f>G183*H183</f>
        <v>0</v>
      </c>
      <c r="BJ183" s="21" t="s">
        <v>1127</v>
      </c>
      <c r="BK183" s="37">
        <v>733</v>
      </c>
    </row>
    <row r="184" spans="1:63" x14ac:dyDescent="0.25">
      <c r="A184" s="4" t="s">
        <v>132</v>
      </c>
      <c r="B184" s="14" t="s">
        <v>429</v>
      </c>
      <c r="C184" s="117" t="s">
        <v>793</v>
      </c>
      <c r="D184" s="118"/>
      <c r="E184" s="118"/>
      <c r="F184" s="14" t="s">
        <v>1026</v>
      </c>
      <c r="G184" s="21">
        <v>18</v>
      </c>
      <c r="H184" s="21">
        <v>0</v>
      </c>
      <c r="I184" s="21">
        <f>G184*AN184</f>
        <v>0</v>
      </c>
      <c r="J184" s="21">
        <f>G184*AO184</f>
        <v>0</v>
      </c>
      <c r="K184" s="21">
        <f t="shared" si="99"/>
        <v>0</v>
      </c>
      <c r="L184" s="5"/>
      <c r="Y184" s="37">
        <f t="shared" si="100"/>
        <v>0</v>
      </c>
      <c r="AA184" s="37">
        <f t="shared" si="101"/>
        <v>0</v>
      </c>
      <c r="AB184" s="37">
        <f t="shared" si="102"/>
        <v>0</v>
      </c>
      <c r="AC184" s="37">
        <f t="shared" si="103"/>
        <v>0</v>
      </c>
      <c r="AD184" s="37">
        <f t="shared" si="104"/>
        <v>0</v>
      </c>
      <c r="AE184" s="37">
        <f t="shared" si="105"/>
        <v>0</v>
      </c>
      <c r="AF184" s="37">
        <f t="shared" si="106"/>
        <v>0</v>
      </c>
      <c r="AG184" s="37">
        <f t="shared" si="107"/>
        <v>0</v>
      </c>
      <c r="AH184" s="36"/>
      <c r="AI184" s="21">
        <f>IF(AM184=0,K184,0)</f>
        <v>0</v>
      </c>
      <c r="AJ184" s="21">
        <f>IF(AM184=15,K184,0)</f>
        <v>0</v>
      </c>
      <c r="AK184" s="21">
        <f>IF(AM184=21,K184,0)</f>
        <v>0</v>
      </c>
      <c r="AM184" s="37">
        <v>21</v>
      </c>
      <c r="AN184" s="37">
        <f>H184*0.502129411764706</f>
        <v>0</v>
      </c>
      <c r="AO184" s="37">
        <f>H184*(1-0.502129411764706)</f>
        <v>0</v>
      </c>
      <c r="AP184" s="38" t="s">
        <v>13</v>
      </c>
      <c r="AU184" s="37">
        <f t="shared" si="108"/>
        <v>0</v>
      </c>
      <c r="AV184" s="37">
        <f>G184*AN184</f>
        <v>0</v>
      </c>
      <c r="AW184" s="37">
        <f>G184*AO184</f>
        <v>0</v>
      </c>
      <c r="AX184" s="40" t="s">
        <v>1074</v>
      </c>
      <c r="AY184" s="40" t="s">
        <v>1116</v>
      </c>
      <c r="AZ184" s="36" t="s">
        <v>1122</v>
      </c>
      <c r="BB184" s="37">
        <f t="shared" si="109"/>
        <v>0</v>
      </c>
      <c r="BC184" s="37">
        <f>H184/(100-BD184)*100</f>
        <v>0</v>
      </c>
      <c r="BD184" s="37">
        <v>0</v>
      </c>
      <c r="BE184" s="37">
        <f>184</f>
        <v>184</v>
      </c>
      <c r="BG184" s="21">
        <f>G184*AN184</f>
        <v>0</v>
      </c>
      <c r="BH184" s="21">
        <f>G184*AO184</f>
        <v>0</v>
      </c>
      <c r="BI184" s="21">
        <f>G184*H184</f>
        <v>0</v>
      </c>
      <c r="BJ184" s="21" t="s">
        <v>1127</v>
      </c>
      <c r="BK184" s="37">
        <v>733</v>
      </c>
    </row>
    <row r="185" spans="1:63" x14ac:dyDescent="0.25">
      <c r="A185" s="4" t="s">
        <v>133</v>
      </c>
      <c r="B185" s="14" t="s">
        <v>430</v>
      </c>
      <c r="C185" s="117" t="s">
        <v>794</v>
      </c>
      <c r="D185" s="118"/>
      <c r="E185" s="118"/>
      <c r="F185" s="14" t="s">
        <v>1026</v>
      </c>
      <c r="G185" s="21">
        <v>8</v>
      </c>
      <c r="H185" s="21">
        <v>0</v>
      </c>
      <c r="I185" s="21">
        <f>G185*AN185</f>
        <v>0</v>
      </c>
      <c r="J185" s="21">
        <f>G185*AO185</f>
        <v>0</v>
      </c>
      <c r="K185" s="21">
        <f t="shared" si="99"/>
        <v>0</v>
      </c>
      <c r="L185" s="5"/>
      <c r="Y185" s="37">
        <f t="shared" si="100"/>
        <v>0</v>
      </c>
      <c r="AA185" s="37">
        <f t="shared" si="101"/>
        <v>0</v>
      </c>
      <c r="AB185" s="37">
        <f t="shared" si="102"/>
        <v>0</v>
      </c>
      <c r="AC185" s="37">
        <f t="shared" si="103"/>
        <v>0</v>
      </c>
      <c r="AD185" s="37">
        <f t="shared" si="104"/>
        <v>0</v>
      </c>
      <c r="AE185" s="37">
        <f t="shared" si="105"/>
        <v>0</v>
      </c>
      <c r="AF185" s="37">
        <f t="shared" si="106"/>
        <v>0</v>
      </c>
      <c r="AG185" s="37">
        <f t="shared" si="107"/>
        <v>0</v>
      </c>
      <c r="AH185" s="36"/>
      <c r="AI185" s="21">
        <f>IF(AM185=0,K185,0)</f>
        <v>0</v>
      </c>
      <c r="AJ185" s="21">
        <f>IF(AM185=15,K185,0)</f>
        <v>0</v>
      </c>
      <c r="AK185" s="21">
        <f>IF(AM185=21,K185,0)</f>
        <v>0</v>
      </c>
      <c r="AM185" s="37">
        <v>21</v>
      </c>
      <c r="AN185" s="37">
        <f>H185*0.441910447761194</f>
        <v>0</v>
      </c>
      <c r="AO185" s="37">
        <f>H185*(1-0.441910447761194)</f>
        <v>0</v>
      </c>
      <c r="AP185" s="38" t="s">
        <v>13</v>
      </c>
      <c r="AU185" s="37">
        <f t="shared" si="108"/>
        <v>0</v>
      </c>
      <c r="AV185" s="37">
        <f>G185*AN185</f>
        <v>0</v>
      </c>
      <c r="AW185" s="37">
        <f>G185*AO185</f>
        <v>0</v>
      </c>
      <c r="AX185" s="40" t="s">
        <v>1074</v>
      </c>
      <c r="AY185" s="40" t="s">
        <v>1116</v>
      </c>
      <c r="AZ185" s="36" t="s">
        <v>1122</v>
      </c>
      <c r="BB185" s="37">
        <f t="shared" si="109"/>
        <v>0</v>
      </c>
      <c r="BC185" s="37">
        <f>H185/(100-BD185)*100</f>
        <v>0</v>
      </c>
      <c r="BD185" s="37">
        <v>0</v>
      </c>
      <c r="BE185" s="37">
        <f>185</f>
        <v>185</v>
      </c>
      <c r="BG185" s="21">
        <f>G185*AN185</f>
        <v>0</v>
      </c>
      <c r="BH185" s="21">
        <f>G185*AO185</f>
        <v>0</v>
      </c>
      <c r="BI185" s="21">
        <f>G185*H185</f>
        <v>0</v>
      </c>
      <c r="BJ185" s="21" t="s">
        <v>1127</v>
      </c>
      <c r="BK185" s="37">
        <v>733</v>
      </c>
    </row>
    <row r="186" spans="1:63" x14ac:dyDescent="0.25">
      <c r="A186" s="4" t="s">
        <v>134</v>
      </c>
      <c r="B186" s="14" t="s">
        <v>431</v>
      </c>
      <c r="C186" s="117" t="s">
        <v>795</v>
      </c>
      <c r="D186" s="118"/>
      <c r="E186" s="118"/>
      <c r="F186" s="14" t="s">
        <v>1026</v>
      </c>
      <c r="G186" s="21">
        <v>12</v>
      </c>
      <c r="H186" s="21">
        <v>0</v>
      </c>
      <c r="I186" s="21">
        <f>G186*AN186</f>
        <v>0</v>
      </c>
      <c r="J186" s="21">
        <f>G186*AO186</f>
        <v>0</v>
      </c>
      <c r="K186" s="21">
        <f t="shared" si="99"/>
        <v>0</v>
      </c>
      <c r="L186" s="5"/>
      <c r="Y186" s="37">
        <f t="shared" si="100"/>
        <v>0</v>
      </c>
      <c r="AA186" s="37">
        <f t="shared" si="101"/>
        <v>0</v>
      </c>
      <c r="AB186" s="37">
        <f t="shared" si="102"/>
        <v>0</v>
      </c>
      <c r="AC186" s="37">
        <f t="shared" si="103"/>
        <v>0</v>
      </c>
      <c r="AD186" s="37">
        <f t="shared" si="104"/>
        <v>0</v>
      </c>
      <c r="AE186" s="37">
        <f t="shared" si="105"/>
        <v>0</v>
      </c>
      <c r="AF186" s="37">
        <f t="shared" si="106"/>
        <v>0</v>
      </c>
      <c r="AG186" s="37">
        <f t="shared" si="107"/>
        <v>0</v>
      </c>
      <c r="AH186" s="36"/>
      <c r="AI186" s="21">
        <f>IF(AM186=0,K186,0)</f>
        <v>0</v>
      </c>
      <c r="AJ186" s="21">
        <f>IF(AM186=15,K186,0)</f>
        <v>0</v>
      </c>
      <c r="AK186" s="21">
        <f>IF(AM186=21,K186,0)</f>
        <v>0</v>
      </c>
      <c r="AM186" s="37">
        <v>21</v>
      </c>
      <c r="AN186" s="37">
        <f>H186*0.392296137339056</f>
        <v>0</v>
      </c>
      <c r="AO186" s="37">
        <f>H186*(1-0.392296137339056)</f>
        <v>0</v>
      </c>
      <c r="AP186" s="38" t="s">
        <v>13</v>
      </c>
      <c r="AU186" s="37">
        <f t="shared" si="108"/>
        <v>0</v>
      </c>
      <c r="AV186" s="37">
        <f>G186*AN186</f>
        <v>0</v>
      </c>
      <c r="AW186" s="37">
        <f>G186*AO186</f>
        <v>0</v>
      </c>
      <c r="AX186" s="40" t="s">
        <v>1074</v>
      </c>
      <c r="AY186" s="40" t="s">
        <v>1116</v>
      </c>
      <c r="AZ186" s="36" t="s">
        <v>1122</v>
      </c>
      <c r="BB186" s="37">
        <f t="shared" si="109"/>
        <v>0</v>
      </c>
      <c r="BC186" s="37">
        <f>H186/(100-BD186)*100</f>
        <v>0</v>
      </c>
      <c r="BD186" s="37">
        <v>0</v>
      </c>
      <c r="BE186" s="37">
        <f>186</f>
        <v>186</v>
      </c>
      <c r="BG186" s="21">
        <f>G186*AN186</f>
        <v>0</v>
      </c>
      <c r="BH186" s="21">
        <f>G186*AO186</f>
        <v>0</v>
      </c>
      <c r="BI186" s="21">
        <f>G186*H186</f>
        <v>0</v>
      </c>
      <c r="BJ186" s="21" t="s">
        <v>1127</v>
      </c>
      <c r="BK186" s="37">
        <v>733</v>
      </c>
    </row>
    <row r="187" spans="1:63" x14ac:dyDescent="0.25">
      <c r="A187" s="4" t="s">
        <v>135</v>
      </c>
      <c r="B187" s="14" t="s">
        <v>432</v>
      </c>
      <c r="C187" s="117" t="s">
        <v>796</v>
      </c>
      <c r="D187" s="118"/>
      <c r="E187" s="118"/>
      <c r="F187" s="14" t="s">
        <v>1026</v>
      </c>
      <c r="G187" s="21">
        <v>1</v>
      </c>
      <c r="H187" s="21">
        <v>0</v>
      </c>
      <c r="I187" s="21">
        <f>G187*AN187</f>
        <v>0</v>
      </c>
      <c r="J187" s="21">
        <f>G187*AO187</f>
        <v>0</v>
      </c>
      <c r="K187" s="21">
        <f t="shared" si="99"/>
        <v>0</v>
      </c>
      <c r="L187" s="5"/>
      <c r="Y187" s="37">
        <f t="shared" si="100"/>
        <v>0</v>
      </c>
      <c r="AA187" s="37">
        <f t="shared" si="101"/>
        <v>0</v>
      </c>
      <c r="AB187" s="37">
        <f t="shared" si="102"/>
        <v>0</v>
      </c>
      <c r="AC187" s="37">
        <f t="shared" si="103"/>
        <v>0</v>
      </c>
      <c r="AD187" s="37">
        <f t="shared" si="104"/>
        <v>0</v>
      </c>
      <c r="AE187" s="37">
        <f t="shared" si="105"/>
        <v>0</v>
      </c>
      <c r="AF187" s="37">
        <f t="shared" si="106"/>
        <v>0</v>
      </c>
      <c r="AG187" s="37">
        <f t="shared" si="107"/>
        <v>0</v>
      </c>
      <c r="AH187" s="36"/>
      <c r="AI187" s="21">
        <f>IF(AM187=0,K187,0)</f>
        <v>0</v>
      </c>
      <c r="AJ187" s="21">
        <f>IF(AM187=15,K187,0)</f>
        <v>0</v>
      </c>
      <c r="AK187" s="21">
        <f>IF(AM187=21,K187,0)</f>
        <v>0</v>
      </c>
      <c r="AM187" s="37">
        <v>21</v>
      </c>
      <c r="AN187" s="37">
        <f>H187*0.36639798488665</f>
        <v>0</v>
      </c>
      <c r="AO187" s="37">
        <f>H187*(1-0.36639798488665)</f>
        <v>0</v>
      </c>
      <c r="AP187" s="38" t="s">
        <v>13</v>
      </c>
      <c r="AU187" s="37">
        <f t="shared" si="108"/>
        <v>0</v>
      </c>
      <c r="AV187" s="37">
        <f>G187*AN187</f>
        <v>0</v>
      </c>
      <c r="AW187" s="37">
        <f>G187*AO187</f>
        <v>0</v>
      </c>
      <c r="AX187" s="40" t="s">
        <v>1074</v>
      </c>
      <c r="AY187" s="40" t="s">
        <v>1116</v>
      </c>
      <c r="AZ187" s="36" t="s">
        <v>1122</v>
      </c>
      <c r="BB187" s="37">
        <f t="shared" si="109"/>
        <v>0</v>
      </c>
      <c r="BC187" s="37">
        <f>H187/(100-BD187)*100</f>
        <v>0</v>
      </c>
      <c r="BD187" s="37">
        <v>0</v>
      </c>
      <c r="BE187" s="37">
        <f>187</f>
        <v>187</v>
      </c>
      <c r="BG187" s="21">
        <f>G187*AN187</f>
        <v>0</v>
      </c>
      <c r="BH187" s="21">
        <f>G187*AO187</f>
        <v>0</v>
      </c>
      <c r="BI187" s="21">
        <f>G187*H187</f>
        <v>0</v>
      </c>
      <c r="BJ187" s="21" t="s">
        <v>1127</v>
      </c>
      <c r="BK187" s="37">
        <v>733</v>
      </c>
    </row>
    <row r="188" spans="1:63" x14ac:dyDescent="0.25">
      <c r="A188" s="4" t="s">
        <v>136</v>
      </c>
      <c r="B188" s="14" t="s">
        <v>433</v>
      </c>
      <c r="C188" s="117" t="s">
        <v>797</v>
      </c>
      <c r="D188" s="118"/>
      <c r="E188" s="118"/>
      <c r="F188" s="14" t="s">
        <v>1026</v>
      </c>
      <c r="G188" s="21">
        <v>3</v>
      </c>
      <c r="H188" s="21">
        <v>0</v>
      </c>
      <c r="I188" s="21">
        <f>G188*AN188</f>
        <v>0</v>
      </c>
      <c r="J188" s="21">
        <f>G188*AO188</f>
        <v>0</v>
      </c>
      <c r="K188" s="21">
        <f t="shared" si="99"/>
        <v>0</v>
      </c>
      <c r="L188" s="5"/>
      <c r="Y188" s="37">
        <f t="shared" si="100"/>
        <v>0</v>
      </c>
      <c r="AA188" s="37">
        <f t="shared" si="101"/>
        <v>0</v>
      </c>
      <c r="AB188" s="37">
        <f t="shared" si="102"/>
        <v>0</v>
      </c>
      <c r="AC188" s="37">
        <f t="shared" si="103"/>
        <v>0</v>
      </c>
      <c r="AD188" s="37">
        <f t="shared" si="104"/>
        <v>0</v>
      </c>
      <c r="AE188" s="37">
        <f t="shared" si="105"/>
        <v>0</v>
      </c>
      <c r="AF188" s="37">
        <f t="shared" si="106"/>
        <v>0</v>
      </c>
      <c r="AG188" s="37">
        <f t="shared" si="107"/>
        <v>0</v>
      </c>
      <c r="AH188" s="36"/>
      <c r="AI188" s="21">
        <f>IF(AM188=0,K188,0)</f>
        <v>0</v>
      </c>
      <c r="AJ188" s="21">
        <f>IF(AM188=15,K188,0)</f>
        <v>0</v>
      </c>
      <c r="AK188" s="21">
        <f>IF(AM188=21,K188,0)</f>
        <v>0</v>
      </c>
      <c r="AM188" s="37">
        <v>21</v>
      </c>
      <c r="AN188" s="37">
        <f>H188*0.344285714285714</f>
        <v>0</v>
      </c>
      <c r="AO188" s="37">
        <f>H188*(1-0.344285714285714)</f>
        <v>0</v>
      </c>
      <c r="AP188" s="38" t="s">
        <v>13</v>
      </c>
      <c r="AU188" s="37">
        <f t="shared" si="108"/>
        <v>0</v>
      </c>
      <c r="AV188" s="37">
        <f>G188*AN188</f>
        <v>0</v>
      </c>
      <c r="AW188" s="37">
        <f>G188*AO188</f>
        <v>0</v>
      </c>
      <c r="AX188" s="40" t="s">
        <v>1074</v>
      </c>
      <c r="AY188" s="40" t="s">
        <v>1116</v>
      </c>
      <c r="AZ188" s="36" t="s">
        <v>1122</v>
      </c>
      <c r="BB188" s="37">
        <f t="shared" si="109"/>
        <v>0</v>
      </c>
      <c r="BC188" s="37">
        <f>H188/(100-BD188)*100</f>
        <v>0</v>
      </c>
      <c r="BD188" s="37">
        <v>0</v>
      </c>
      <c r="BE188" s="37">
        <f>188</f>
        <v>188</v>
      </c>
      <c r="BG188" s="21">
        <f>G188*AN188</f>
        <v>0</v>
      </c>
      <c r="BH188" s="21">
        <f>G188*AO188</f>
        <v>0</v>
      </c>
      <c r="BI188" s="21">
        <f>G188*H188</f>
        <v>0</v>
      </c>
      <c r="BJ188" s="21" t="s">
        <v>1127</v>
      </c>
      <c r="BK188" s="37">
        <v>733</v>
      </c>
    </row>
    <row r="189" spans="1:63" x14ac:dyDescent="0.25">
      <c r="A189" s="6"/>
      <c r="B189" s="15" t="s">
        <v>434</v>
      </c>
      <c r="C189" s="121" t="s">
        <v>798</v>
      </c>
      <c r="D189" s="122"/>
      <c r="E189" s="122"/>
      <c r="F189" s="19" t="s">
        <v>6</v>
      </c>
      <c r="G189" s="19" t="s">
        <v>6</v>
      </c>
      <c r="H189" s="19" t="s">
        <v>6</v>
      </c>
      <c r="I189" s="43">
        <f>SUM(I190:I217)</f>
        <v>0</v>
      </c>
      <c r="J189" s="43">
        <f>SUM(J190:J217)</f>
        <v>0</v>
      </c>
      <c r="K189" s="43">
        <f>SUM(K190:K217)</f>
        <v>0</v>
      </c>
      <c r="L189" s="5"/>
      <c r="AH189" s="36"/>
      <c r="AR189" s="43">
        <f>SUM(AI190:AI217)</f>
        <v>0</v>
      </c>
      <c r="AS189" s="43">
        <f>SUM(AJ190:AJ217)</f>
        <v>0</v>
      </c>
      <c r="AT189" s="43">
        <f>SUM(AK190:AK217)</f>
        <v>0</v>
      </c>
    </row>
    <row r="190" spans="1:63" x14ac:dyDescent="0.25">
      <c r="A190" s="4" t="s">
        <v>137</v>
      </c>
      <c r="B190" s="14" t="s">
        <v>435</v>
      </c>
      <c r="C190" s="117" t="s">
        <v>799</v>
      </c>
      <c r="D190" s="118"/>
      <c r="E190" s="118"/>
      <c r="F190" s="14" t="s">
        <v>1024</v>
      </c>
      <c r="G190" s="21">
        <v>2</v>
      </c>
      <c r="H190" s="21">
        <v>0</v>
      </c>
      <c r="I190" s="21">
        <f>G190*AN190</f>
        <v>0</v>
      </c>
      <c r="J190" s="21">
        <f>G190*AO190</f>
        <v>0</v>
      </c>
      <c r="K190" s="21">
        <f t="shared" ref="K190:K217" si="110">G190*H190</f>
        <v>0</v>
      </c>
      <c r="L190" s="5"/>
      <c r="Y190" s="37">
        <f t="shared" ref="Y190:Y217" si="111">IF(AP190="5",BI190,0)</f>
        <v>0</v>
      </c>
      <c r="AA190" s="37">
        <f t="shared" ref="AA190:AA217" si="112">IF(AP190="1",BG190,0)</f>
        <v>0</v>
      </c>
      <c r="AB190" s="37">
        <f t="shared" ref="AB190:AB217" si="113">IF(AP190="1",BH190,0)</f>
        <v>0</v>
      </c>
      <c r="AC190" s="37">
        <f t="shared" ref="AC190:AC217" si="114">IF(AP190="7",BG190,0)</f>
        <v>0</v>
      </c>
      <c r="AD190" s="37">
        <f t="shared" ref="AD190:AD217" si="115">IF(AP190="7",BH190,0)</f>
        <v>0</v>
      </c>
      <c r="AE190" s="37">
        <f t="shared" ref="AE190:AE217" si="116">IF(AP190="2",BG190,0)</f>
        <v>0</v>
      </c>
      <c r="AF190" s="37">
        <f t="shared" ref="AF190:AF217" si="117">IF(AP190="2",BH190,0)</f>
        <v>0</v>
      </c>
      <c r="AG190" s="37">
        <f t="shared" ref="AG190:AG217" si="118">IF(AP190="0",BI190,0)</f>
        <v>0</v>
      </c>
      <c r="AH190" s="36"/>
      <c r="AI190" s="21">
        <f>IF(AM190=0,K190,0)</f>
        <v>0</v>
      </c>
      <c r="AJ190" s="21">
        <f>IF(AM190=15,K190,0)</f>
        <v>0</v>
      </c>
      <c r="AK190" s="21">
        <f>IF(AM190=21,K190,0)</f>
        <v>0</v>
      </c>
      <c r="AM190" s="37">
        <v>21</v>
      </c>
      <c r="AN190" s="37">
        <f>H190*0.225780885780886</f>
        <v>0</v>
      </c>
      <c r="AO190" s="37">
        <f>H190*(1-0.225780885780886)</f>
        <v>0</v>
      </c>
      <c r="AP190" s="38" t="s">
        <v>13</v>
      </c>
      <c r="AU190" s="37">
        <f t="shared" ref="AU190:AU217" si="119">AV190+AW190</f>
        <v>0</v>
      </c>
      <c r="AV190" s="37">
        <f>G190*AN190</f>
        <v>0</v>
      </c>
      <c r="AW190" s="37">
        <f>G190*AO190</f>
        <v>0</v>
      </c>
      <c r="AX190" s="40" t="s">
        <v>1075</v>
      </c>
      <c r="AY190" s="40" t="s">
        <v>1116</v>
      </c>
      <c r="AZ190" s="36" t="s">
        <v>1122</v>
      </c>
      <c r="BB190" s="37">
        <f t="shared" ref="BB190:BB217" si="120">AV190+AW190</f>
        <v>0</v>
      </c>
      <c r="BC190" s="37">
        <f>H190/(100-BD190)*100</f>
        <v>0</v>
      </c>
      <c r="BD190" s="37">
        <v>0</v>
      </c>
      <c r="BE190" s="37">
        <f>190</f>
        <v>190</v>
      </c>
      <c r="BG190" s="21">
        <f>G190*AN190</f>
        <v>0</v>
      </c>
      <c r="BH190" s="21">
        <f>G190*AO190</f>
        <v>0</v>
      </c>
      <c r="BI190" s="21">
        <f>G190*H190</f>
        <v>0</v>
      </c>
      <c r="BJ190" s="21" t="s">
        <v>1127</v>
      </c>
      <c r="BK190" s="37">
        <v>734</v>
      </c>
    </row>
    <row r="191" spans="1:63" x14ac:dyDescent="0.25">
      <c r="A191" s="4" t="s">
        <v>138</v>
      </c>
      <c r="B191" s="14" t="s">
        <v>436</v>
      </c>
      <c r="C191" s="117" t="s">
        <v>800</v>
      </c>
      <c r="D191" s="118"/>
      <c r="E191" s="118"/>
      <c r="F191" s="14" t="s">
        <v>1024</v>
      </c>
      <c r="G191" s="21">
        <v>1</v>
      </c>
      <c r="H191" s="21">
        <v>0</v>
      </c>
      <c r="I191" s="21">
        <f>G191*AN191</f>
        <v>0</v>
      </c>
      <c r="J191" s="21">
        <f>G191*AO191</f>
        <v>0</v>
      </c>
      <c r="K191" s="21">
        <f t="shared" si="110"/>
        <v>0</v>
      </c>
      <c r="L191" s="5"/>
      <c r="Y191" s="37">
        <f t="shared" si="111"/>
        <v>0</v>
      </c>
      <c r="AA191" s="37">
        <f t="shared" si="112"/>
        <v>0</v>
      </c>
      <c r="AB191" s="37">
        <f t="shared" si="113"/>
        <v>0</v>
      </c>
      <c r="AC191" s="37">
        <f t="shared" si="114"/>
        <v>0</v>
      </c>
      <c r="AD191" s="37">
        <f t="shared" si="115"/>
        <v>0</v>
      </c>
      <c r="AE191" s="37">
        <f t="shared" si="116"/>
        <v>0</v>
      </c>
      <c r="AF191" s="37">
        <f t="shared" si="117"/>
        <v>0</v>
      </c>
      <c r="AG191" s="37">
        <f t="shared" si="118"/>
        <v>0</v>
      </c>
      <c r="AH191" s="36"/>
      <c r="AI191" s="21">
        <f>IF(AM191=0,K191,0)</f>
        <v>0</v>
      </c>
      <c r="AJ191" s="21">
        <f>IF(AM191=15,K191,0)</f>
        <v>0</v>
      </c>
      <c r="AK191" s="21">
        <f>IF(AM191=21,K191,0)</f>
        <v>0</v>
      </c>
      <c r="AM191" s="37">
        <v>21</v>
      </c>
      <c r="AN191" s="37">
        <f>H191*0.844017094017094</f>
        <v>0</v>
      </c>
      <c r="AO191" s="37">
        <f>H191*(1-0.844017094017094)</f>
        <v>0</v>
      </c>
      <c r="AP191" s="38" t="s">
        <v>13</v>
      </c>
      <c r="AU191" s="37">
        <f t="shared" si="119"/>
        <v>0</v>
      </c>
      <c r="AV191" s="37">
        <f>G191*AN191</f>
        <v>0</v>
      </c>
      <c r="AW191" s="37">
        <f>G191*AO191</f>
        <v>0</v>
      </c>
      <c r="AX191" s="40" t="s">
        <v>1075</v>
      </c>
      <c r="AY191" s="40" t="s">
        <v>1116</v>
      </c>
      <c r="AZ191" s="36" t="s">
        <v>1122</v>
      </c>
      <c r="BB191" s="37">
        <f t="shared" si="120"/>
        <v>0</v>
      </c>
      <c r="BC191" s="37">
        <f>H191/(100-BD191)*100</f>
        <v>0</v>
      </c>
      <c r="BD191" s="37">
        <v>0</v>
      </c>
      <c r="BE191" s="37">
        <f>191</f>
        <v>191</v>
      </c>
      <c r="BG191" s="21">
        <f>G191*AN191</f>
        <v>0</v>
      </c>
      <c r="BH191" s="21">
        <f>G191*AO191</f>
        <v>0</v>
      </c>
      <c r="BI191" s="21">
        <f>G191*H191</f>
        <v>0</v>
      </c>
      <c r="BJ191" s="21" t="s">
        <v>1127</v>
      </c>
      <c r="BK191" s="37">
        <v>734</v>
      </c>
    </row>
    <row r="192" spans="1:63" x14ac:dyDescent="0.25">
      <c r="A192" s="4" t="s">
        <v>139</v>
      </c>
      <c r="B192" s="14" t="s">
        <v>437</v>
      </c>
      <c r="C192" s="117" t="s">
        <v>801</v>
      </c>
      <c r="D192" s="118"/>
      <c r="E192" s="118"/>
      <c r="F192" s="14" t="s">
        <v>1024</v>
      </c>
      <c r="G192" s="21">
        <v>2</v>
      </c>
      <c r="H192" s="21">
        <v>0</v>
      </c>
      <c r="I192" s="21">
        <f>G192*AN192</f>
        <v>0</v>
      </c>
      <c r="J192" s="21">
        <f>G192*AO192</f>
        <v>0</v>
      </c>
      <c r="K192" s="21">
        <f t="shared" si="110"/>
        <v>0</v>
      </c>
      <c r="L192" s="5"/>
      <c r="Y192" s="37">
        <f t="shared" si="111"/>
        <v>0</v>
      </c>
      <c r="AA192" s="37">
        <f t="shared" si="112"/>
        <v>0</v>
      </c>
      <c r="AB192" s="37">
        <f t="shared" si="113"/>
        <v>0</v>
      </c>
      <c r="AC192" s="37">
        <f t="shared" si="114"/>
        <v>0</v>
      </c>
      <c r="AD192" s="37">
        <f t="shared" si="115"/>
        <v>0</v>
      </c>
      <c r="AE192" s="37">
        <f t="shared" si="116"/>
        <v>0</v>
      </c>
      <c r="AF192" s="37">
        <f t="shared" si="117"/>
        <v>0</v>
      </c>
      <c r="AG192" s="37">
        <f t="shared" si="118"/>
        <v>0</v>
      </c>
      <c r="AH192" s="36"/>
      <c r="AI192" s="21">
        <f>IF(AM192=0,K192,0)</f>
        <v>0</v>
      </c>
      <c r="AJ192" s="21">
        <f>IF(AM192=15,K192,0)</f>
        <v>0</v>
      </c>
      <c r="AK192" s="21">
        <f>IF(AM192=21,K192,0)</f>
        <v>0</v>
      </c>
      <c r="AM192" s="37">
        <v>21</v>
      </c>
      <c r="AN192" s="37">
        <f>H192*0.92975011786893</f>
        <v>0</v>
      </c>
      <c r="AO192" s="37">
        <f>H192*(1-0.92975011786893)</f>
        <v>0</v>
      </c>
      <c r="AP192" s="38" t="s">
        <v>13</v>
      </c>
      <c r="AU192" s="37">
        <f t="shared" si="119"/>
        <v>0</v>
      </c>
      <c r="AV192" s="37">
        <f>G192*AN192</f>
        <v>0</v>
      </c>
      <c r="AW192" s="37">
        <f>G192*AO192</f>
        <v>0</v>
      </c>
      <c r="AX192" s="40" t="s">
        <v>1075</v>
      </c>
      <c r="AY192" s="40" t="s">
        <v>1116</v>
      </c>
      <c r="AZ192" s="36" t="s">
        <v>1122</v>
      </c>
      <c r="BB192" s="37">
        <f t="shared" si="120"/>
        <v>0</v>
      </c>
      <c r="BC192" s="37">
        <f>H192/(100-BD192)*100</f>
        <v>0</v>
      </c>
      <c r="BD192" s="37">
        <v>0</v>
      </c>
      <c r="BE192" s="37">
        <f>192</f>
        <v>192</v>
      </c>
      <c r="BG192" s="21">
        <f>G192*AN192</f>
        <v>0</v>
      </c>
      <c r="BH192" s="21">
        <f>G192*AO192</f>
        <v>0</v>
      </c>
      <c r="BI192" s="21">
        <f>G192*H192</f>
        <v>0</v>
      </c>
      <c r="BJ192" s="21" t="s">
        <v>1127</v>
      </c>
      <c r="BK192" s="37">
        <v>734</v>
      </c>
    </row>
    <row r="193" spans="1:63" x14ac:dyDescent="0.25">
      <c r="A193" s="4" t="s">
        <v>140</v>
      </c>
      <c r="B193" s="14" t="s">
        <v>438</v>
      </c>
      <c r="C193" s="117" t="s">
        <v>802</v>
      </c>
      <c r="D193" s="118"/>
      <c r="E193" s="118"/>
      <c r="F193" s="14" t="s">
        <v>1024</v>
      </c>
      <c r="G193" s="21">
        <v>10</v>
      </c>
      <c r="H193" s="21">
        <v>0</v>
      </c>
      <c r="I193" s="21">
        <f>G193*AN193</f>
        <v>0</v>
      </c>
      <c r="J193" s="21">
        <f>G193*AO193</f>
        <v>0</v>
      </c>
      <c r="K193" s="21">
        <f t="shared" si="110"/>
        <v>0</v>
      </c>
      <c r="L193" s="5"/>
      <c r="Y193" s="37">
        <f t="shared" si="111"/>
        <v>0</v>
      </c>
      <c r="AA193" s="37">
        <f t="shared" si="112"/>
        <v>0</v>
      </c>
      <c r="AB193" s="37">
        <f t="shared" si="113"/>
        <v>0</v>
      </c>
      <c r="AC193" s="37">
        <f t="shared" si="114"/>
        <v>0</v>
      </c>
      <c r="AD193" s="37">
        <f t="shared" si="115"/>
        <v>0</v>
      </c>
      <c r="AE193" s="37">
        <f t="shared" si="116"/>
        <v>0</v>
      </c>
      <c r="AF193" s="37">
        <f t="shared" si="117"/>
        <v>0</v>
      </c>
      <c r="AG193" s="37">
        <f t="shared" si="118"/>
        <v>0</v>
      </c>
      <c r="AH193" s="36"/>
      <c r="AI193" s="21">
        <f>IF(AM193=0,K193,0)</f>
        <v>0</v>
      </c>
      <c r="AJ193" s="21">
        <f>IF(AM193=15,K193,0)</f>
        <v>0</v>
      </c>
      <c r="AK193" s="21">
        <f>IF(AM193=21,K193,0)</f>
        <v>0</v>
      </c>
      <c r="AM193" s="37">
        <v>21</v>
      </c>
      <c r="AN193" s="37">
        <f>H193*0.715266666666667</f>
        <v>0</v>
      </c>
      <c r="AO193" s="37">
        <f>H193*(1-0.715266666666667)</f>
        <v>0</v>
      </c>
      <c r="AP193" s="38" t="s">
        <v>13</v>
      </c>
      <c r="AU193" s="37">
        <f t="shared" si="119"/>
        <v>0</v>
      </c>
      <c r="AV193" s="37">
        <f>G193*AN193</f>
        <v>0</v>
      </c>
      <c r="AW193" s="37">
        <f>G193*AO193</f>
        <v>0</v>
      </c>
      <c r="AX193" s="40" t="s">
        <v>1075</v>
      </c>
      <c r="AY193" s="40" t="s">
        <v>1116</v>
      </c>
      <c r="AZ193" s="36" t="s">
        <v>1122</v>
      </c>
      <c r="BB193" s="37">
        <f t="shared" si="120"/>
        <v>0</v>
      </c>
      <c r="BC193" s="37">
        <f>H193/(100-BD193)*100</f>
        <v>0</v>
      </c>
      <c r="BD193" s="37">
        <v>0</v>
      </c>
      <c r="BE193" s="37">
        <f>193</f>
        <v>193</v>
      </c>
      <c r="BG193" s="21">
        <f>G193*AN193</f>
        <v>0</v>
      </c>
      <c r="BH193" s="21">
        <f>G193*AO193</f>
        <v>0</v>
      </c>
      <c r="BI193" s="21">
        <f>G193*H193</f>
        <v>0</v>
      </c>
      <c r="BJ193" s="21" t="s">
        <v>1127</v>
      </c>
      <c r="BK193" s="37">
        <v>734</v>
      </c>
    </row>
    <row r="194" spans="1:63" x14ac:dyDescent="0.25">
      <c r="A194" s="4" t="s">
        <v>141</v>
      </c>
      <c r="B194" s="14" t="s">
        <v>439</v>
      </c>
      <c r="C194" s="117" t="s">
        <v>803</v>
      </c>
      <c r="D194" s="118"/>
      <c r="E194" s="118"/>
      <c r="F194" s="14" t="s">
        <v>1024</v>
      </c>
      <c r="G194" s="21">
        <v>1</v>
      </c>
      <c r="H194" s="21">
        <v>0</v>
      </c>
      <c r="I194" s="21">
        <f>G194*AN194</f>
        <v>0</v>
      </c>
      <c r="J194" s="21">
        <f>G194*AO194</f>
        <v>0</v>
      </c>
      <c r="K194" s="21">
        <f t="shared" si="110"/>
        <v>0</v>
      </c>
      <c r="L194" s="5"/>
      <c r="Y194" s="37">
        <f t="shared" si="111"/>
        <v>0</v>
      </c>
      <c r="AA194" s="37">
        <f t="shared" si="112"/>
        <v>0</v>
      </c>
      <c r="AB194" s="37">
        <f t="shared" si="113"/>
        <v>0</v>
      </c>
      <c r="AC194" s="37">
        <f t="shared" si="114"/>
        <v>0</v>
      </c>
      <c r="AD194" s="37">
        <f t="shared" si="115"/>
        <v>0</v>
      </c>
      <c r="AE194" s="37">
        <f t="shared" si="116"/>
        <v>0</v>
      </c>
      <c r="AF194" s="37">
        <f t="shared" si="117"/>
        <v>0</v>
      </c>
      <c r="AG194" s="37">
        <f t="shared" si="118"/>
        <v>0</v>
      </c>
      <c r="AH194" s="36"/>
      <c r="AI194" s="21">
        <f>IF(AM194=0,K194,0)</f>
        <v>0</v>
      </c>
      <c r="AJ194" s="21">
        <f>IF(AM194=15,K194,0)</f>
        <v>0</v>
      </c>
      <c r="AK194" s="21">
        <f>IF(AM194=21,K194,0)</f>
        <v>0</v>
      </c>
      <c r="AM194" s="37">
        <v>21</v>
      </c>
      <c r="AN194" s="37">
        <f>H194*0.520189573459716</f>
        <v>0</v>
      </c>
      <c r="AO194" s="37">
        <f>H194*(1-0.520189573459716)</f>
        <v>0</v>
      </c>
      <c r="AP194" s="38" t="s">
        <v>13</v>
      </c>
      <c r="AU194" s="37">
        <f t="shared" si="119"/>
        <v>0</v>
      </c>
      <c r="AV194" s="37">
        <f>G194*AN194</f>
        <v>0</v>
      </c>
      <c r="AW194" s="37">
        <f>G194*AO194</f>
        <v>0</v>
      </c>
      <c r="AX194" s="40" t="s">
        <v>1075</v>
      </c>
      <c r="AY194" s="40" t="s">
        <v>1116</v>
      </c>
      <c r="AZ194" s="36" t="s">
        <v>1122</v>
      </c>
      <c r="BB194" s="37">
        <f t="shared" si="120"/>
        <v>0</v>
      </c>
      <c r="BC194" s="37">
        <f>H194/(100-BD194)*100</f>
        <v>0</v>
      </c>
      <c r="BD194" s="37">
        <v>0</v>
      </c>
      <c r="BE194" s="37">
        <f>194</f>
        <v>194</v>
      </c>
      <c r="BG194" s="21">
        <f>G194*AN194</f>
        <v>0</v>
      </c>
      <c r="BH194" s="21">
        <f>G194*AO194</f>
        <v>0</v>
      </c>
      <c r="BI194" s="21">
        <f>G194*H194</f>
        <v>0</v>
      </c>
      <c r="BJ194" s="21" t="s">
        <v>1127</v>
      </c>
      <c r="BK194" s="37">
        <v>734</v>
      </c>
    </row>
    <row r="195" spans="1:63" x14ac:dyDescent="0.25">
      <c r="A195" s="4" t="s">
        <v>142</v>
      </c>
      <c r="B195" s="14" t="s">
        <v>440</v>
      </c>
      <c r="C195" s="117" t="s">
        <v>804</v>
      </c>
      <c r="D195" s="118"/>
      <c r="E195" s="118"/>
      <c r="F195" s="14" t="s">
        <v>1024</v>
      </c>
      <c r="G195" s="21">
        <v>2</v>
      </c>
      <c r="H195" s="21">
        <v>0</v>
      </c>
      <c r="I195" s="21">
        <f>G195*AN195</f>
        <v>0</v>
      </c>
      <c r="J195" s="21">
        <f>G195*AO195</f>
        <v>0</v>
      </c>
      <c r="K195" s="21">
        <f t="shared" si="110"/>
        <v>0</v>
      </c>
      <c r="L195" s="5"/>
      <c r="Y195" s="37">
        <f t="shared" si="111"/>
        <v>0</v>
      </c>
      <c r="AA195" s="37">
        <f t="shared" si="112"/>
        <v>0</v>
      </c>
      <c r="AB195" s="37">
        <f t="shared" si="113"/>
        <v>0</v>
      </c>
      <c r="AC195" s="37">
        <f t="shared" si="114"/>
        <v>0</v>
      </c>
      <c r="AD195" s="37">
        <f t="shared" si="115"/>
        <v>0</v>
      </c>
      <c r="AE195" s="37">
        <f t="shared" si="116"/>
        <v>0</v>
      </c>
      <c r="AF195" s="37">
        <f t="shared" si="117"/>
        <v>0</v>
      </c>
      <c r="AG195" s="37">
        <f t="shared" si="118"/>
        <v>0</v>
      </c>
      <c r="AH195" s="36"/>
      <c r="AI195" s="21">
        <f>IF(AM195=0,K195,0)</f>
        <v>0</v>
      </c>
      <c r="AJ195" s="21">
        <f>IF(AM195=15,K195,0)</f>
        <v>0</v>
      </c>
      <c r="AK195" s="21">
        <f>IF(AM195=21,K195,0)</f>
        <v>0</v>
      </c>
      <c r="AM195" s="37">
        <v>21</v>
      </c>
      <c r="AN195" s="37">
        <f>H195*0.4980625</f>
        <v>0</v>
      </c>
      <c r="AO195" s="37">
        <f>H195*(1-0.4980625)</f>
        <v>0</v>
      </c>
      <c r="AP195" s="38" t="s">
        <v>13</v>
      </c>
      <c r="AU195" s="37">
        <f t="shared" si="119"/>
        <v>0</v>
      </c>
      <c r="AV195" s="37">
        <f>G195*AN195</f>
        <v>0</v>
      </c>
      <c r="AW195" s="37">
        <f>G195*AO195</f>
        <v>0</v>
      </c>
      <c r="AX195" s="40" t="s">
        <v>1075</v>
      </c>
      <c r="AY195" s="40" t="s">
        <v>1116</v>
      </c>
      <c r="AZ195" s="36" t="s">
        <v>1122</v>
      </c>
      <c r="BB195" s="37">
        <f t="shared" si="120"/>
        <v>0</v>
      </c>
      <c r="BC195" s="37">
        <f>H195/(100-BD195)*100</f>
        <v>0</v>
      </c>
      <c r="BD195" s="37">
        <v>0</v>
      </c>
      <c r="BE195" s="37">
        <f>195</f>
        <v>195</v>
      </c>
      <c r="BG195" s="21">
        <f>G195*AN195</f>
        <v>0</v>
      </c>
      <c r="BH195" s="21">
        <f>G195*AO195</f>
        <v>0</v>
      </c>
      <c r="BI195" s="21">
        <f>G195*H195</f>
        <v>0</v>
      </c>
      <c r="BJ195" s="21" t="s">
        <v>1127</v>
      </c>
      <c r="BK195" s="37">
        <v>734</v>
      </c>
    </row>
    <row r="196" spans="1:63" x14ac:dyDescent="0.25">
      <c r="A196" s="4" t="s">
        <v>143</v>
      </c>
      <c r="B196" s="14" t="s">
        <v>441</v>
      </c>
      <c r="C196" s="117" t="s">
        <v>805</v>
      </c>
      <c r="D196" s="118"/>
      <c r="E196" s="118"/>
      <c r="F196" s="14" t="s">
        <v>1024</v>
      </c>
      <c r="G196" s="21">
        <v>2</v>
      </c>
      <c r="H196" s="21">
        <v>0</v>
      </c>
      <c r="I196" s="21">
        <f>G196*AN196</f>
        <v>0</v>
      </c>
      <c r="J196" s="21">
        <f>G196*AO196</f>
        <v>0</v>
      </c>
      <c r="K196" s="21">
        <f t="shared" si="110"/>
        <v>0</v>
      </c>
      <c r="L196" s="5"/>
      <c r="Y196" s="37">
        <f t="shared" si="111"/>
        <v>0</v>
      </c>
      <c r="AA196" s="37">
        <f t="shared" si="112"/>
        <v>0</v>
      </c>
      <c r="AB196" s="37">
        <f t="shared" si="113"/>
        <v>0</v>
      </c>
      <c r="AC196" s="37">
        <f t="shared" si="114"/>
        <v>0</v>
      </c>
      <c r="AD196" s="37">
        <f t="shared" si="115"/>
        <v>0</v>
      </c>
      <c r="AE196" s="37">
        <f t="shared" si="116"/>
        <v>0</v>
      </c>
      <c r="AF196" s="37">
        <f t="shared" si="117"/>
        <v>0</v>
      </c>
      <c r="AG196" s="37">
        <f t="shared" si="118"/>
        <v>0</v>
      </c>
      <c r="AH196" s="36"/>
      <c r="AI196" s="21">
        <f>IF(AM196=0,K196,0)</f>
        <v>0</v>
      </c>
      <c r="AJ196" s="21">
        <f>IF(AM196=15,K196,0)</f>
        <v>0</v>
      </c>
      <c r="AK196" s="21">
        <f>IF(AM196=21,K196,0)</f>
        <v>0</v>
      </c>
      <c r="AM196" s="37">
        <v>21</v>
      </c>
      <c r="AN196" s="37">
        <f>H196*0.714521963824289</f>
        <v>0</v>
      </c>
      <c r="AO196" s="37">
        <f>H196*(1-0.714521963824289)</f>
        <v>0</v>
      </c>
      <c r="AP196" s="38" t="s">
        <v>13</v>
      </c>
      <c r="AU196" s="37">
        <f t="shared" si="119"/>
        <v>0</v>
      </c>
      <c r="AV196" s="37">
        <f>G196*AN196</f>
        <v>0</v>
      </c>
      <c r="AW196" s="37">
        <f>G196*AO196</f>
        <v>0</v>
      </c>
      <c r="AX196" s="40" t="s">
        <v>1075</v>
      </c>
      <c r="AY196" s="40" t="s">
        <v>1116</v>
      </c>
      <c r="AZ196" s="36" t="s">
        <v>1122</v>
      </c>
      <c r="BB196" s="37">
        <f t="shared" si="120"/>
        <v>0</v>
      </c>
      <c r="BC196" s="37">
        <f>H196/(100-BD196)*100</f>
        <v>0</v>
      </c>
      <c r="BD196" s="37">
        <v>0</v>
      </c>
      <c r="BE196" s="37">
        <f>196</f>
        <v>196</v>
      </c>
      <c r="BG196" s="21">
        <f>G196*AN196</f>
        <v>0</v>
      </c>
      <c r="BH196" s="21">
        <f>G196*AO196</f>
        <v>0</v>
      </c>
      <c r="BI196" s="21">
        <f>G196*H196</f>
        <v>0</v>
      </c>
      <c r="BJ196" s="21" t="s">
        <v>1127</v>
      </c>
      <c r="BK196" s="37">
        <v>734</v>
      </c>
    </row>
    <row r="197" spans="1:63" x14ac:dyDescent="0.25">
      <c r="A197" s="4" t="s">
        <v>144</v>
      </c>
      <c r="B197" s="14" t="s">
        <v>442</v>
      </c>
      <c r="C197" s="117" t="s">
        <v>806</v>
      </c>
      <c r="D197" s="118"/>
      <c r="E197" s="118"/>
      <c r="F197" s="14" t="s">
        <v>1024</v>
      </c>
      <c r="G197" s="21">
        <v>3</v>
      </c>
      <c r="H197" s="21">
        <v>0</v>
      </c>
      <c r="I197" s="21">
        <f>G197*AN197</f>
        <v>0</v>
      </c>
      <c r="J197" s="21">
        <f>G197*AO197</f>
        <v>0</v>
      </c>
      <c r="K197" s="21">
        <f t="shared" si="110"/>
        <v>0</v>
      </c>
      <c r="L197" s="5"/>
      <c r="Y197" s="37">
        <f t="shared" si="111"/>
        <v>0</v>
      </c>
      <c r="AA197" s="37">
        <f t="shared" si="112"/>
        <v>0</v>
      </c>
      <c r="AB197" s="37">
        <f t="shared" si="113"/>
        <v>0</v>
      </c>
      <c r="AC197" s="37">
        <f t="shared" si="114"/>
        <v>0</v>
      </c>
      <c r="AD197" s="37">
        <f t="shared" si="115"/>
        <v>0</v>
      </c>
      <c r="AE197" s="37">
        <f t="shared" si="116"/>
        <v>0</v>
      </c>
      <c r="AF197" s="37">
        <f t="shared" si="117"/>
        <v>0</v>
      </c>
      <c r="AG197" s="37">
        <f t="shared" si="118"/>
        <v>0</v>
      </c>
      <c r="AH197" s="36"/>
      <c r="AI197" s="21">
        <f>IF(AM197=0,K197,0)</f>
        <v>0</v>
      </c>
      <c r="AJ197" s="21">
        <f>IF(AM197=15,K197,0)</f>
        <v>0</v>
      </c>
      <c r="AK197" s="21">
        <f>IF(AM197=21,K197,0)</f>
        <v>0</v>
      </c>
      <c r="AM197" s="37">
        <v>21</v>
      </c>
      <c r="AN197" s="37">
        <f>H197*0.651645569620253</f>
        <v>0</v>
      </c>
      <c r="AO197" s="37">
        <f>H197*(1-0.651645569620253)</f>
        <v>0</v>
      </c>
      <c r="AP197" s="38" t="s">
        <v>13</v>
      </c>
      <c r="AU197" s="37">
        <f t="shared" si="119"/>
        <v>0</v>
      </c>
      <c r="AV197" s="37">
        <f>G197*AN197</f>
        <v>0</v>
      </c>
      <c r="AW197" s="37">
        <f>G197*AO197</f>
        <v>0</v>
      </c>
      <c r="AX197" s="40" t="s">
        <v>1075</v>
      </c>
      <c r="AY197" s="40" t="s">
        <v>1116</v>
      </c>
      <c r="AZ197" s="36" t="s">
        <v>1122</v>
      </c>
      <c r="BB197" s="37">
        <f t="shared" si="120"/>
        <v>0</v>
      </c>
      <c r="BC197" s="37">
        <f>H197/(100-BD197)*100</f>
        <v>0</v>
      </c>
      <c r="BD197" s="37">
        <v>0</v>
      </c>
      <c r="BE197" s="37">
        <f>197</f>
        <v>197</v>
      </c>
      <c r="BG197" s="21">
        <f>G197*AN197</f>
        <v>0</v>
      </c>
      <c r="BH197" s="21">
        <f>G197*AO197</f>
        <v>0</v>
      </c>
      <c r="BI197" s="21">
        <f>G197*H197</f>
        <v>0</v>
      </c>
      <c r="BJ197" s="21" t="s">
        <v>1127</v>
      </c>
      <c r="BK197" s="37">
        <v>734</v>
      </c>
    </row>
    <row r="198" spans="1:63" x14ac:dyDescent="0.25">
      <c r="A198" s="4" t="s">
        <v>145</v>
      </c>
      <c r="B198" s="14" t="s">
        <v>443</v>
      </c>
      <c r="C198" s="117" t="s">
        <v>807</v>
      </c>
      <c r="D198" s="118"/>
      <c r="E198" s="118"/>
      <c r="F198" s="14" t="s">
        <v>1024</v>
      </c>
      <c r="G198" s="21">
        <v>3</v>
      </c>
      <c r="H198" s="21">
        <v>0</v>
      </c>
      <c r="I198" s="21">
        <f>G198*AN198</f>
        <v>0</v>
      </c>
      <c r="J198" s="21">
        <f>G198*AO198</f>
        <v>0</v>
      </c>
      <c r="K198" s="21">
        <f t="shared" si="110"/>
        <v>0</v>
      </c>
      <c r="L198" s="5"/>
      <c r="Y198" s="37">
        <f t="shared" si="111"/>
        <v>0</v>
      </c>
      <c r="AA198" s="37">
        <f t="shared" si="112"/>
        <v>0</v>
      </c>
      <c r="AB198" s="37">
        <f t="shared" si="113"/>
        <v>0</v>
      </c>
      <c r="AC198" s="37">
        <f t="shared" si="114"/>
        <v>0</v>
      </c>
      <c r="AD198" s="37">
        <f t="shared" si="115"/>
        <v>0</v>
      </c>
      <c r="AE198" s="37">
        <f t="shared" si="116"/>
        <v>0</v>
      </c>
      <c r="AF198" s="37">
        <f t="shared" si="117"/>
        <v>0</v>
      </c>
      <c r="AG198" s="37">
        <f t="shared" si="118"/>
        <v>0</v>
      </c>
      <c r="AH198" s="36"/>
      <c r="AI198" s="21">
        <f>IF(AM198=0,K198,0)</f>
        <v>0</v>
      </c>
      <c r="AJ198" s="21">
        <f>IF(AM198=15,K198,0)</f>
        <v>0</v>
      </c>
      <c r="AK198" s="21">
        <f>IF(AM198=21,K198,0)</f>
        <v>0</v>
      </c>
      <c r="AM198" s="37">
        <v>21</v>
      </c>
      <c r="AN198" s="37">
        <f>H198*0.6278173374613</f>
        <v>0</v>
      </c>
      <c r="AO198" s="37">
        <f>H198*(1-0.6278173374613)</f>
        <v>0</v>
      </c>
      <c r="AP198" s="38" t="s">
        <v>13</v>
      </c>
      <c r="AU198" s="37">
        <f t="shared" si="119"/>
        <v>0</v>
      </c>
      <c r="AV198" s="37">
        <f>G198*AN198</f>
        <v>0</v>
      </c>
      <c r="AW198" s="37">
        <f>G198*AO198</f>
        <v>0</v>
      </c>
      <c r="AX198" s="40" t="s">
        <v>1075</v>
      </c>
      <c r="AY198" s="40" t="s">
        <v>1116</v>
      </c>
      <c r="AZ198" s="36" t="s">
        <v>1122</v>
      </c>
      <c r="BB198" s="37">
        <f t="shared" si="120"/>
        <v>0</v>
      </c>
      <c r="BC198" s="37">
        <f>H198/(100-BD198)*100</f>
        <v>0</v>
      </c>
      <c r="BD198" s="37">
        <v>0</v>
      </c>
      <c r="BE198" s="37">
        <f>198</f>
        <v>198</v>
      </c>
      <c r="BG198" s="21">
        <f>G198*AN198</f>
        <v>0</v>
      </c>
      <c r="BH198" s="21">
        <f>G198*AO198</f>
        <v>0</v>
      </c>
      <c r="BI198" s="21">
        <f>G198*H198</f>
        <v>0</v>
      </c>
      <c r="BJ198" s="21" t="s">
        <v>1127</v>
      </c>
      <c r="BK198" s="37">
        <v>734</v>
      </c>
    </row>
    <row r="199" spans="1:63" x14ac:dyDescent="0.25">
      <c r="A199" s="4" t="s">
        <v>146</v>
      </c>
      <c r="B199" s="14" t="s">
        <v>444</v>
      </c>
      <c r="C199" s="117" t="s">
        <v>808</v>
      </c>
      <c r="D199" s="118"/>
      <c r="E199" s="118"/>
      <c r="F199" s="14" t="s">
        <v>1024</v>
      </c>
      <c r="G199" s="21">
        <v>2</v>
      </c>
      <c r="H199" s="21">
        <v>0</v>
      </c>
      <c r="I199" s="21">
        <f>G199*AN199</f>
        <v>0</v>
      </c>
      <c r="J199" s="21">
        <f>G199*AO199</f>
        <v>0</v>
      </c>
      <c r="K199" s="21">
        <f t="shared" si="110"/>
        <v>0</v>
      </c>
      <c r="L199" s="5"/>
      <c r="Y199" s="37">
        <f t="shared" si="111"/>
        <v>0</v>
      </c>
      <c r="AA199" s="37">
        <f t="shared" si="112"/>
        <v>0</v>
      </c>
      <c r="AB199" s="37">
        <f t="shared" si="113"/>
        <v>0</v>
      </c>
      <c r="AC199" s="37">
        <f t="shared" si="114"/>
        <v>0</v>
      </c>
      <c r="AD199" s="37">
        <f t="shared" si="115"/>
        <v>0</v>
      </c>
      <c r="AE199" s="37">
        <f t="shared" si="116"/>
        <v>0</v>
      </c>
      <c r="AF199" s="37">
        <f t="shared" si="117"/>
        <v>0</v>
      </c>
      <c r="AG199" s="37">
        <f t="shared" si="118"/>
        <v>0</v>
      </c>
      <c r="AH199" s="36"/>
      <c r="AI199" s="21">
        <f>IF(AM199=0,K199,0)</f>
        <v>0</v>
      </c>
      <c r="AJ199" s="21">
        <f>IF(AM199=15,K199,0)</f>
        <v>0</v>
      </c>
      <c r="AK199" s="21">
        <f>IF(AM199=21,K199,0)</f>
        <v>0</v>
      </c>
      <c r="AM199" s="37">
        <v>21</v>
      </c>
      <c r="AN199" s="37">
        <f>H199*0.766961651917404</f>
        <v>0</v>
      </c>
      <c r="AO199" s="37">
        <f>H199*(1-0.766961651917404)</f>
        <v>0</v>
      </c>
      <c r="AP199" s="38" t="s">
        <v>13</v>
      </c>
      <c r="AU199" s="37">
        <f t="shared" si="119"/>
        <v>0</v>
      </c>
      <c r="AV199" s="37">
        <f>G199*AN199</f>
        <v>0</v>
      </c>
      <c r="AW199" s="37">
        <f>G199*AO199</f>
        <v>0</v>
      </c>
      <c r="AX199" s="40" t="s">
        <v>1075</v>
      </c>
      <c r="AY199" s="40" t="s">
        <v>1116</v>
      </c>
      <c r="AZ199" s="36" t="s">
        <v>1122</v>
      </c>
      <c r="BB199" s="37">
        <f t="shared" si="120"/>
        <v>0</v>
      </c>
      <c r="BC199" s="37">
        <f>H199/(100-BD199)*100</f>
        <v>0</v>
      </c>
      <c r="BD199" s="37">
        <v>0</v>
      </c>
      <c r="BE199" s="37">
        <f>199</f>
        <v>199</v>
      </c>
      <c r="BG199" s="21">
        <f>G199*AN199</f>
        <v>0</v>
      </c>
      <c r="BH199" s="21">
        <f>G199*AO199</f>
        <v>0</v>
      </c>
      <c r="BI199" s="21">
        <f>G199*H199</f>
        <v>0</v>
      </c>
      <c r="BJ199" s="21" t="s">
        <v>1127</v>
      </c>
      <c r="BK199" s="37">
        <v>734</v>
      </c>
    </row>
    <row r="200" spans="1:63" x14ac:dyDescent="0.25">
      <c r="A200" s="4" t="s">
        <v>147</v>
      </c>
      <c r="B200" s="14" t="s">
        <v>445</v>
      </c>
      <c r="C200" s="117" t="s">
        <v>809</v>
      </c>
      <c r="D200" s="118"/>
      <c r="E200" s="118"/>
      <c r="F200" s="14" t="s">
        <v>1024</v>
      </c>
      <c r="G200" s="21">
        <v>1</v>
      </c>
      <c r="H200" s="21">
        <v>0</v>
      </c>
      <c r="I200" s="21">
        <f>G200*AN200</f>
        <v>0</v>
      </c>
      <c r="J200" s="21">
        <f>G200*AO200</f>
        <v>0</v>
      </c>
      <c r="K200" s="21">
        <f t="shared" si="110"/>
        <v>0</v>
      </c>
      <c r="L200" s="5"/>
      <c r="Y200" s="37">
        <f t="shared" si="111"/>
        <v>0</v>
      </c>
      <c r="AA200" s="37">
        <f t="shared" si="112"/>
        <v>0</v>
      </c>
      <c r="AB200" s="37">
        <f t="shared" si="113"/>
        <v>0</v>
      </c>
      <c r="AC200" s="37">
        <f t="shared" si="114"/>
        <v>0</v>
      </c>
      <c r="AD200" s="37">
        <f t="shared" si="115"/>
        <v>0</v>
      </c>
      <c r="AE200" s="37">
        <f t="shared" si="116"/>
        <v>0</v>
      </c>
      <c r="AF200" s="37">
        <f t="shared" si="117"/>
        <v>0</v>
      </c>
      <c r="AG200" s="37">
        <f t="shared" si="118"/>
        <v>0</v>
      </c>
      <c r="AH200" s="36"/>
      <c r="AI200" s="21">
        <f>IF(AM200=0,K200,0)</f>
        <v>0</v>
      </c>
      <c r="AJ200" s="21">
        <f>IF(AM200=15,K200,0)</f>
        <v>0</v>
      </c>
      <c r="AK200" s="21">
        <f>IF(AM200=21,K200,0)</f>
        <v>0</v>
      </c>
      <c r="AM200" s="37">
        <v>21</v>
      </c>
      <c r="AN200" s="37">
        <f>H200*0.672619047619048</f>
        <v>0</v>
      </c>
      <c r="AO200" s="37">
        <f>H200*(1-0.672619047619048)</f>
        <v>0</v>
      </c>
      <c r="AP200" s="38" t="s">
        <v>13</v>
      </c>
      <c r="AU200" s="37">
        <f t="shared" si="119"/>
        <v>0</v>
      </c>
      <c r="AV200" s="37">
        <f>G200*AN200</f>
        <v>0</v>
      </c>
      <c r="AW200" s="37">
        <f>G200*AO200</f>
        <v>0</v>
      </c>
      <c r="AX200" s="40" t="s">
        <v>1075</v>
      </c>
      <c r="AY200" s="40" t="s">
        <v>1116</v>
      </c>
      <c r="AZ200" s="36" t="s">
        <v>1122</v>
      </c>
      <c r="BB200" s="37">
        <f t="shared" si="120"/>
        <v>0</v>
      </c>
      <c r="BC200" s="37">
        <f>H200/(100-BD200)*100</f>
        <v>0</v>
      </c>
      <c r="BD200" s="37">
        <v>0</v>
      </c>
      <c r="BE200" s="37">
        <f>200</f>
        <v>200</v>
      </c>
      <c r="BG200" s="21">
        <f>G200*AN200</f>
        <v>0</v>
      </c>
      <c r="BH200" s="21">
        <f>G200*AO200</f>
        <v>0</v>
      </c>
      <c r="BI200" s="21">
        <f>G200*H200</f>
        <v>0</v>
      </c>
      <c r="BJ200" s="21" t="s">
        <v>1127</v>
      </c>
      <c r="BK200" s="37">
        <v>734</v>
      </c>
    </row>
    <row r="201" spans="1:63" x14ac:dyDescent="0.25">
      <c r="A201" s="4" t="s">
        <v>148</v>
      </c>
      <c r="B201" s="14" t="s">
        <v>446</v>
      </c>
      <c r="C201" s="117" t="s">
        <v>810</v>
      </c>
      <c r="D201" s="118"/>
      <c r="E201" s="118"/>
      <c r="F201" s="14" t="s">
        <v>1024</v>
      </c>
      <c r="G201" s="21">
        <v>1</v>
      </c>
      <c r="H201" s="21">
        <v>0</v>
      </c>
      <c r="I201" s="21">
        <f>G201*AN201</f>
        <v>0</v>
      </c>
      <c r="J201" s="21">
        <f>G201*AO201</f>
        <v>0</v>
      </c>
      <c r="K201" s="21">
        <f t="shared" si="110"/>
        <v>0</v>
      </c>
      <c r="L201" s="5"/>
      <c r="Y201" s="37">
        <f t="shared" si="111"/>
        <v>0</v>
      </c>
      <c r="AA201" s="37">
        <f t="shared" si="112"/>
        <v>0</v>
      </c>
      <c r="AB201" s="37">
        <f t="shared" si="113"/>
        <v>0</v>
      </c>
      <c r="AC201" s="37">
        <f t="shared" si="114"/>
        <v>0</v>
      </c>
      <c r="AD201" s="37">
        <f t="shared" si="115"/>
        <v>0</v>
      </c>
      <c r="AE201" s="37">
        <f t="shared" si="116"/>
        <v>0</v>
      </c>
      <c r="AF201" s="37">
        <f t="shared" si="117"/>
        <v>0</v>
      </c>
      <c r="AG201" s="37">
        <f t="shared" si="118"/>
        <v>0</v>
      </c>
      <c r="AH201" s="36"/>
      <c r="AI201" s="21">
        <f>IF(AM201=0,K201,0)</f>
        <v>0</v>
      </c>
      <c r="AJ201" s="21">
        <f>IF(AM201=15,K201,0)</f>
        <v>0</v>
      </c>
      <c r="AK201" s="21">
        <f>IF(AM201=21,K201,0)</f>
        <v>0</v>
      </c>
      <c r="AM201" s="37">
        <v>21</v>
      </c>
      <c r="AN201" s="37">
        <f>H201*0.68992277992278</f>
        <v>0</v>
      </c>
      <c r="AO201" s="37">
        <f>H201*(1-0.68992277992278)</f>
        <v>0</v>
      </c>
      <c r="AP201" s="38" t="s">
        <v>13</v>
      </c>
      <c r="AU201" s="37">
        <f t="shared" si="119"/>
        <v>0</v>
      </c>
      <c r="AV201" s="37">
        <f>G201*AN201</f>
        <v>0</v>
      </c>
      <c r="AW201" s="37">
        <f>G201*AO201</f>
        <v>0</v>
      </c>
      <c r="AX201" s="40" t="s">
        <v>1075</v>
      </c>
      <c r="AY201" s="40" t="s">
        <v>1116</v>
      </c>
      <c r="AZ201" s="36" t="s">
        <v>1122</v>
      </c>
      <c r="BB201" s="37">
        <f t="shared" si="120"/>
        <v>0</v>
      </c>
      <c r="BC201" s="37">
        <f>H201/(100-BD201)*100</f>
        <v>0</v>
      </c>
      <c r="BD201" s="37">
        <v>0</v>
      </c>
      <c r="BE201" s="37">
        <f>201</f>
        <v>201</v>
      </c>
      <c r="BG201" s="21">
        <f>G201*AN201</f>
        <v>0</v>
      </c>
      <c r="BH201" s="21">
        <f>G201*AO201</f>
        <v>0</v>
      </c>
      <c r="BI201" s="21">
        <f>G201*H201</f>
        <v>0</v>
      </c>
      <c r="BJ201" s="21" t="s">
        <v>1127</v>
      </c>
      <c r="BK201" s="37">
        <v>734</v>
      </c>
    </row>
    <row r="202" spans="1:63" x14ac:dyDescent="0.25">
      <c r="A202" s="4" t="s">
        <v>149</v>
      </c>
      <c r="B202" s="14" t="s">
        <v>446</v>
      </c>
      <c r="C202" s="117" t="s">
        <v>811</v>
      </c>
      <c r="D202" s="118"/>
      <c r="E202" s="118"/>
      <c r="F202" s="14" t="s">
        <v>1024</v>
      </c>
      <c r="G202" s="21">
        <v>1</v>
      </c>
      <c r="H202" s="21">
        <v>0</v>
      </c>
      <c r="I202" s="21">
        <f>G202*AN202</f>
        <v>0</v>
      </c>
      <c r="J202" s="21">
        <f>G202*AO202</f>
        <v>0</v>
      </c>
      <c r="K202" s="21">
        <f t="shared" si="110"/>
        <v>0</v>
      </c>
      <c r="L202" s="5"/>
      <c r="Y202" s="37">
        <f t="shared" si="111"/>
        <v>0</v>
      </c>
      <c r="AA202" s="37">
        <f t="shared" si="112"/>
        <v>0</v>
      </c>
      <c r="AB202" s="37">
        <f t="shared" si="113"/>
        <v>0</v>
      </c>
      <c r="AC202" s="37">
        <f t="shared" si="114"/>
        <v>0</v>
      </c>
      <c r="AD202" s="37">
        <f t="shared" si="115"/>
        <v>0</v>
      </c>
      <c r="AE202" s="37">
        <f t="shared" si="116"/>
        <v>0</v>
      </c>
      <c r="AF202" s="37">
        <f t="shared" si="117"/>
        <v>0</v>
      </c>
      <c r="AG202" s="37">
        <f t="shared" si="118"/>
        <v>0</v>
      </c>
      <c r="AH202" s="36"/>
      <c r="AI202" s="21">
        <f>IF(AM202=0,K202,0)</f>
        <v>0</v>
      </c>
      <c r="AJ202" s="21">
        <f>IF(AM202=15,K202,0)</f>
        <v>0</v>
      </c>
      <c r="AK202" s="21">
        <f>IF(AM202=21,K202,0)</f>
        <v>0</v>
      </c>
      <c r="AM202" s="37">
        <v>21</v>
      </c>
      <c r="AN202" s="37">
        <f>H202*0.68992277992278</f>
        <v>0</v>
      </c>
      <c r="AO202" s="37">
        <f>H202*(1-0.68992277992278)</f>
        <v>0</v>
      </c>
      <c r="AP202" s="38" t="s">
        <v>13</v>
      </c>
      <c r="AU202" s="37">
        <f t="shared" si="119"/>
        <v>0</v>
      </c>
      <c r="AV202" s="37">
        <f>G202*AN202</f>
        <v>0</v>
      </c>
      <c r="AW202" s="37">
        <f>G202*AO202</f>
        <v>0</v>
      </c>
      <c r="AX202" s="40" t="s">
        <v>1075</v>
      </c>
      <c r="AY202" s="40" t="s">
        <v>1116</v>
      </c>
      <c r="AZ202" s="36" t="s">
        <v>1122</v>
      </c>
      <c r="BB202" s="37">
        <f t="shared" si="120"/>
        <v>0</v>
      </c>
      <c r="BC202" s="37">
        <f>H202/(100-BD202)*100</f>
        <v>0</v>
      </c>
      <c r="BD202" s="37">
        <v>0</v>
      </c>
      <c r="BE202" s="37">
        <f>202</f>
        <v>202</v>
      </c>
      <c r="BG202" s="21">
        <f>G202*AN202</f>
        <v>0</v>
      </c>
      <c r="BH202" s="21">
        <f>G202*AO202</f>
        <v>0</v>
      </c>
      <c r="BI202" s="21">
        <f>G202*H202</f>
        <v>0</v>
      </c>
      <c r="BJ202" s="21" t="s">
        <v>1127</v>
      </c>
      <c r="BK202" s="37">
        <v>734</v>
      </c>
    </row>
    <row r="203" spans="1:63" x14ac:dyDescent="0.25">
      <c r="A203" s="4" t="s">
        <v>150</v>
      </c>
      <c r="B203" s="14" t="s">
        <v>447</v>
      </c>
      <c r="C203" s="117" t="s">
        <v>812</v>
      </c>
      <c r="D203" s="118"/>
      <c r="E203" s="118"/>
      <c r="F203" s="14" t="s">
        <v>1024</v>
      </c>
      <c r="G203" s="21">
        <v>4</v>
      </c>
      <c r="H203" s="21">
        <v>0</v>
      </c>
      <c r="I203" s="21">
        <f>G203*AN203</f>
        <v>0</v>
      </c>
      <c r="J203" s="21">
        <f>G203*AO203</f>
        <v>0</v>
      </c>
      <c r="K203" s="21">
        <f t="shared" si="110"/>
        <v>0</v>
      </c>
      <c r="L203" s="5"/>
      <c r="Y203" s="37">
        <f t="shared" si="111"/>
        <v>0</v>
      </c>
      <c r="AA203" s="37">
        <f t="shared" si="112"/>
        <v>0</v>
      </c>
      <c r="AB203" s="37">
        <f t="shared" si="113"/>
        <v>0</v>
      </c>
      <c r="AC203" s="37">
        <f t="shared" si="114"/>
        <v>0</v>
      </c>
      <c r="AD203" s="37">
        <f t="shared" si="115"/>
        <v>0</v>
      </c>
      <c r="AE203" s="37">
        <f t="shared" si="116"/>
        <v>0</v>
      </c>
      <c r="AF203" s="37">
        <f t="shared" si="117"/>
        <v>0</v>
      </c>
      <c r="AG203" s="37">
        <f t="shared" si="118"/>
        <v>0</v>
      </c>
      <c r="AH203" s="36"/>
      <c r="AI203" s="21">
        <f>IF(AM203=0,K203,0)</f>
        <v>0</v>
      </c>
      <c r="AJ203" s="21">
        <f>IF(AM203=15,K203,0)</f>
        <v>0</v>
      </c>
      <c r="AK203" s="21">
        <f>IF(AM203=21,K203,0)</f>
        <v>0</v>
      </c>
      <c r="AM203" s="37">
        <v>21</v>
      </c>
      <c r="AN203" s="37">
        <f>H203*0.806276403138202</f>
        <v>0</v>
      </c>
      <c r="AO203" s="37">
        <f>H203*(1-0.806276403138202)</f>
        <v>0</v>
      </c>
      <c r="AP203" s="38" t="s">
        <v>13</v>
      </c>
      <c r="AU203" s="37">
        <f t="shared" si="119"/>
        <v>0</v>
      </c>
      <c r="AV203" s="37">
        <f>G203*AN203</f>
        <v>0</v>
      </c>
      <c r="AW203" s="37">
        <f>G203*AO203</f>
        <v>0</v>
      </c>
      <c r="AX203" s="40" t="s">
        <v>1075</v>
      </c>
      <c r="AY203" s="40" t="s">
        <v>1116</v>
      </c>
      <c r="AZ203" s="36" t="s">
        <v>1122</v>
      </c>
      <c r="BB203" s="37">
        <f t="shared" si="120"/>
        <v>0</v>
      </c>
      <c r="BC203" s="37">
        <f>H203/(100-BD203)*100</f>
        <v>0</v>
      </c>
      <c r="BD203" s="37">
        <v>0</v>
      </c>
      <c r="BE203" s="37">
        <f>203</f>
        <v>203</v>
      </c>
      <c r="BG203" s="21">
        <f>G203*AN203</f>
        <v>0</v>
      </c>
      <c r="BH203" s="21">
        <f>G203*AO203</f>
        <v>0</v>
      </c>
      <c r="BI203" s="21">
        <f>G203*H203</f>
        <v>0</v>
      </c>
      <c r="BJ203" s="21" t="s">
        <v>1127</v>
      </c>
      <c r="BK203" s="37">
        <v>734</v>
      </c>
    </row>
    <row r="204" spans="1:63" x14ac:dyDescent="0.25">
      <c r="A204" s="4" t="s">
        <v>151</v>
      </c>
      <c r="B204" s="14" t="s">
        <v>448</v>
      </c>
      <c r="C204" s="117" t="s">
        <v>813</v>
      </c>
      <c r="D204" s="118"/>
      <c r="E204" s="118"/>
      <c r="F204" s="14" t="s">
        <v>1024</v>
      </c>
      <c r="G204" s="21">
        <v>2</v>
      </c>
      <c r="H204" s="21">
        <v>0</v>
      </c>
      <c r="I204" s="21">
        <f>G204*AN204</f>
        <v>0</v>
      </c>
      <c r="J204" s="21">
        <f>G204*AO204</f>
        <v>0</v>
      </c>
      <c r="K204" s="21">
        <f t="shared" si="110"/>
        <v>0</v>
      </c>
      <c r="L204" s="5"/>
      <c r="Y204" s="37">
        <f t="shared" si="111"/>
        <v>0</v>
      </c>
      <c r="AA204" s="37">
        <f t="shared" si="112"/>
        <v>0</v>
      </c>
      <c r="AB204" s="37">
        <f t="shared" si="113"/>
        <v>0</v>
      </c>
      <c r="AC204" s="37">
        <f t="shared" si="114"/>
        <v>0</v>
      </c>
      <c r="AD204" s="37">
        <f t="shared" si="115"/>
        <v>0</v>
      </c>
      <c r="AE204" s="37">
        <f t="shared" si="116"/>
        <v>0</v>
      </c>
      <c r="AF204" s="37">
        <f t="shared" si="117"/>
        <v>0</v>
      </c>
      <c r="AG204" s="37">
        <f t="shared" si="118"/>
        <v>0</v>
      </c>
      <c r="AH204" s="36"/>
      <c r="AI204" s="21">
        <f>IF(AM204=0,K204,0)</f>
        <v>0</v>
      </c>
      <c r="AJ204" s="21">
        <f>IF(AM204=15,K204,0)</f>
        <v>0</v>
      </c>
      <c r="AK204" s="21">
        <f>IF(AM204=21,K204,0)</f>
        <v>0</v>
      </c>
      <c r="AM204" s="37">
        <v>21</v>
      </c>
      <c r="AN204" s="37">
        <f>H204*0.719101123595506</f>
        <v>0</v>
      </c>
      <c r="AO204" s="37">
        <f>H204*(1-0.719101123595506)</f>
        <v>0</v>
      </c>
      <c r="AP204" s="38" t="s">
        <v>13</v>
      </c>
      <c r="AU204" s="37">
        <f t="shared" si="119"/>
        <v>0</v>
      </c>
      <c r="AV204" s="37">
        <f>G204*AN204</f>
        <v>0</v>
      </c>
      <c r="AW204" s="37">
        <f>G204*AO204</f>
        <v>0</v>
      </c>
      <c r="AX204" s="40" t="s">
        <v>1075</v>
      </c>
      <c r="AY204" s="40" t="s">
        <v>1116</v>
      </c>
      <c r="AZ204" s="36" t="s">
        <v>1122</v>
      </c>
      <c r="BB204" s="37">
        <f t="shared" si="120"/>
        <v>0</v>
      </c>
      <c r="BC204" s="37">
        <f>H204/(100-BD204)*100</f>
        <v>0</v>
      </c>
      <c r="BD204" s="37">
        <v>0</v>
      </c>
      <c r="BE204" s="37">
        <f>204</f>
        <v>204</v>
      </c>
      <c r="BG204" s="21">
        <f>G204*AN204</f>
        <v>0</v>
      </c>
      <c r="BH204" s="21">
        <f>G204*AO204</f>
        <v>0</v>
      </c>
      <c r="BI204" s="21">
        <f>G204*H204</f>
        <v>0</v>
      </c>
      <c r="BJ204" s="21" t="s">
        <v>1127</v>
      </c>
      <c r="BK204" s="37">
        <v>734</v>
      </c>
    </row>
    <row r="205" spans="1:63" x14ac:dyDescent="0.25">
      <c r="A205" s="4" t="s">
        <v>152</v>
      </c>
      <c r="B205" s="14" t="s">
        <v>449</v>
      </c>
      <c r="C205" s="117" t="s">
        <v>814</v>
      </c>
      <c r="D205" s="118"/>
      <c r="E205" s="118"/>
      <c r="F205" s="14" t="s">
        <v>1024</v>
      </c>
      <c r="G205" s="21">
        <v>4</v>
      </c>
      <c r="H205" s="21">
        <v>0</v>
      </c>
      <c r="I205" s="21">
        <f>G205*AN205</f>
        <v>0</v>
      </c>
      <c r="J205" s="21">
        <f>G205*AO205</f>
        <v>0</v>
      </c>
      <c r="K205" s="21">
        <f t="shared" si="110"/>
        <v>0</v>
      </c>
      <c r="L205" s="5"/>
      <c r="Y205" s="37">
        <f t="shared" si="111"/>
        <v>0</v>
      </c>
      <c r="AA205" s="37">
        <f t="shared" si="112"/>
        <v>0</v>
      </c>
      <c r="AB205" s="37">
        <f t="shared" si="113"/>
        <v>0</v>
      </c>
      <c r="AC205" s="37">
        <f t="shared" si="114"/>
        <v>0</v>
      </c>
      <c r="AD205" s="37">
        <f t="shared" si="115"/>
        <v>0</v>
      </c>
      <c r="AE205" s="37">
        <f t="shared" si="116"/>
        <v>0</v>
      </c>
      <c r="AF205" s="37">
        <f t="shared" si="117"/>
        <v>0</v>
      </c>
      <c r="AG205" s="37">
        <f t="shared" si="118"/>
        <v>0</v>
      </c>
      <c r="AH205" s="36"/>
      <c r="AI205" s="21">
        <f>IF(AM205=0,K205,0)</f>
        <v>0</v>
      </c>
      <c r="AJ205" s="21">
        <f>IF(AM205=15,K205,0)</f>
        <v>0</v>
      </c>
      <c r="AK205" s="21">
        <f>IF(AM205=21,K205,0)</f>
        <v>0</v>
      </c>
      <c r="AM205" s="37">
        <v>21</v>
      </c>
      <c r="AN205" s="37">
        <f>H205*0.68630849220104</f>
        <v>0</v>
      </c>
      <c r="AO205" s="37">
        <f>H205*(1-0.68630849220104)</f>
        <v>0</v>
      </c>
      <c r="AP205" s="38" t="s">
        <v>13</v>
      </c>
      <c r="AU205" s="37">
        <f t="shared" si="119"/>
        <v>0</v>
      </c>
      <c r="AV205" s="37">
        <f>G205*AN205</f>
        <v>0</v>
      </c>
      <c r="AW205" s="37">
        <f>G205*AO205</f>
        <v>0</v>
      </c>
      <c r="AX205" s="40" t="s">
        <v>1075</v>
      </c>
      <c r="AY205" s="40" t="s">
        <v>1116</v>
      </c>
      <c r="AZ205" s="36" t="s">
        <v>1122</v>
      </c>
      <c r="BB205" s="37">
        <f t="shared" si="120"/>
        <v>0</v>
      </c>
      <c r="BC205" s="37">
        <f>H205/(100-BD205)*100</f>
        <v>0</v>
      </c>
      <c r="BD205" s="37">
        <v>0</v>
      </c>
      <c r="BE205" s="37">
        <f>205</f>
        <v>205</v>
      </c>
      <c r="BG205" s="21">
        <f>G205*AN205</f>
        <v>0</v>
      </c>
      <c r="BH205" s="21">
        <f>G205*AO205</f>
        <v>0</v>
      </c>
      <c r="BI205" s="21">
        <f>G205*H205</f>
        <v>0</v>
      </c>
      <c r="BJ205" s="21" t="s">
        <v>1127</v>
      </c>
      <c r="BK205" s="37">
        <v>734</v>
      </c>
    </row>
    <row r="206" spans="1:63" x14ac:dyDescent="0.25">
      <c r="A206" s="4" t="s">
        <v>153</v>
      </c>
      <c r="B206" s="14" t="s">
        <v>450</v>
      </c>
      <c r="C206" s="117" t="s">
        <v>815</v>
      </c>
      <c r="D206" s="118"/>
      <c r="E206" s="118"/>
      <c r="F206" s="14" t="s">
        <v>1024</v>
      </c>
      <c r="G206" s="21">
        <v>8</v>
      </c>
      <c r="H206" s="21">
        <v>0</v>
      </c>
      <c r="I206" s="21">
        <f>G206*AN206</f>
        <v>0</v>
      </c>
      <c r="J206" s="21">
        <f>G206*AO206</f>
        <v>0</v>
      </c>
      <c r="K206" s="21">
        <f t="shared" si="110"/>
        <v>0</v>
      </c>
      <c r="L206" s="5"/>
      <c r="Y206" s="37">
        <f t="shared" si="111"/>
        <v>0</v>
      </c>
      <c r="AA206" s="37">
        <f t="shared" si="112"/>
        <v>0</v>
      </c>
      <c r="AB206" s="37">
        <f t="shared" si="113"/>
        <v>0</v>
      </c>
      <c r="AC206" s="37">
        <f t="shared" si="114"/>
        <v>0</v>
      </c>
      <c r="AD206" s="37">
        <f t="shared" si="115"/>
        <v>0</v>
      </c>
      <c r="AE206" s="37">
        <f t="shared" si="116"/>
        <v>0</v>
      </c>
      <c r="AF206" s="37">
        <f t="shared" si="117"/>
        <v>0</v>
      </c>
      <c r="AG206" s="37">
        <f t="shared" si="118"/>
        <v>0</v>
      </c>
      <c r="AH206" s="36"/>
      <c r="AI206" s="21">
        <f>IF(AM206=0,K206,0)</f>
        <v>0</v>
      </c>
      <c r="AJ206" s="21">
        <f>IF(AM206=15,K206,0)</f>
        <v>0</v>
      </c>
      <c r="AK206" s="21">
        <f>IF(AM206=21,K206,0)</f>
        <v>0</v>
      </c>
      <c r="AM206" s="37">
        <v>21</v>
      </c>
      <c r="AN206" s="37">
        <f>H206*0.643575418994413</f>
        <v>0</v>
      </c>
      <c r="AO206" s="37">
        <f>H206*(1-0.643575418994413)</f>
        <v>0</v>
      </c>
      <c r="AP206" s="38" t="s">
        <v>13</v>
      </c>
      <c r="AU206" s="37">
        <f t="shared" si="119"/>
        <v>0</v>
      </c>
      <c r="AV206" s="37">
        <f>G206*AN206</f>
        <v>0</v>
      </c>
      <c r="AW206" s="37">
        <f>G206*AO206</f>
        <v>0</v>
      </c>
      <c r="AX206" s="40" t="s">
        <v>1075</v>
      </c>
      <c r="AY206" s="40" t="s">
        <v>1116</v>
      </c>
      <c r="AZ206" s="36" t="s">
        <v>1122</v>
      </c>
      <c r="BB206" s="37">
        <f t="shared" si="120"/>
        <v>0</v>
      </c>
      <c r="BC206" s="37">
        <f>H206/(100-BD206)*100</f>
        <v>0</v>
      </c>
      <c r="BD206" s="37">
        <v>0</v>
      </c>
      <c r="BE206" s="37">
        <f>206</f>
        <v>206</v>
      </c>
      <c r="BG206" s="21">
        <f>G206*AN206</f>
        <v>0</v>
      </c>
      <c r="BH206" s="21">
        <f>G206*AO206</f>
        <v>0</v>
      </c>
      <c r="BI206" s="21">
        <f>G206*H206</f>
        <v>0</v>
      </c>
      <c r="BJ206" s="21" t="s">
        <v>1127</v>
      </c>
      <c r="BK206" s="37">
        <v>734</v>
      </c>
    </row>
    <row r="207" spans="1:63" x14ac:dyDescent="0.25">
      <c r="A207" s="4" t="s">
        <v>154</v>
      </c>
      <c r="B207" s="14" t="s">
        <v>451</v>
      </c>
      <c r="C207" s="117" t="s">
        <v>816</v>
      </c>
      <c r="D207" s="118"/>
      <c r="E207" s="118"/>
      <c r="F207" s="14" t="s">
        <v>1024</v>
      </c>
      <c r="G207" s="21">
        <v>4</v>
      </c>
      <c r="H207" s="21">
        <v>0</v>
      </c>
      <c r="I207" s="21">
        <f>G207*AN207</f>
        <v>0</v>
      </c>
      <c r="J207" s="21">
        <f>G207*AO207</f>
        <v>0</v>
      </c>
      <c r="K207" s="21">
        <f t="shared" si="110"/>
        <v>0</v>
      </c>
      <c r="L207" s="5"/>
      <c r="Y207" s="37">
        <f t="shared" si="111"/>
        <v>0</v>
      </c>
      <c r="AA207" s="37">
        <f t="shared" si="112"/>
        <v>0</v>
      </c>
      <c r="AB207" s="37">
        <f t="shared" si="113"/>
        <v>0</v>
      </c>
      <c r="AC207" s="37">
        <f t="shared" si="114"/>
        <v>0</v>
      </c>
      <c r="AD207" s="37">
        <f t="shared" si="115"/>
        <v>0</v>
      </c>
      <c r="AE207" s="37">
        <f t="shared" si="116"/>
        <v>0</v>
      </c>
      <c r="AF207" s="37">
        <f t="shared" si="117"/>
        <v>0</v>
      </c>
      <c r="AG207" s="37">
        <f t="shared" si="118"/>
        <v>0</v>
      </c>
      <c r="AH207" s="36"/>
      <c r="AI207" s="21">
        <f>IF(AM207=0,K207,0)</f>
        <v>0</v>
      </c>
      <c r="AJ207" s="21">
        <f>IF(AM207=15,K207,0)</f>
        <v>0</v>
      </c>
      <c r="AK207" s="21">
        <f>IF(AM207=21,K207,0)</f>
        <v>0</v>
      </c>
      <c r="AM207" s="37">
        <v>21</v>
      </c>
      <c r="AN207" s="37">
        <f>H207*0.742637644046095</f>
        <v>0</v>
      </c>
      <c r="AO207" s="37">
        <f>H207*(1-0.742637644046095)</f>
        <v>0</v>
      </c>
      <c r="AP207" s="38" t="s">
        <v>13</v>
      </c>
      <c r="AU207" s="37">
        <f t="shared" si="119"/>
        <v>0</v>
      </c>
      <c r="AV207" s="37">
        <f>G207*AN207</f>
        <v>0</v>
      </c>
      <c r="AW207" s="37">
        <f>G207*AO207</f>
        <v>0</v>
      </c>
      <c r="AX207" s="40" t="s">
        <v>1075</v>
      </c>
      <c r="AY207" s="40" t="s">
        <v>1116</v>
      </c>
      <c r="AZ207" s="36" t="s">
        <v>1122</v>
      </c>
      <c r="BB207" s="37">
        <f t="shared" si="120"/>
        <v>0</v>
      </c>
      <c r="BC207" s="37">
        <f>H207/(100-BD207)*100</f>
        <v>0</v>
      </c>
      <c r="BD207" s="37">
        <v>0</v>
      </c>
      <c r="BE207" s="37">
        <f>207</f>
        <v>207</v>
      </c>
      <c r="BG207" s="21">
        <f>G207*AN207</f>
        <v>0</v>
      </c>
      <c r="BH207" s="21">
        <f>G207*AO207</f>
        <v>0</v>
      </c>
      <c r="BI207" s="21">
        <f>G207*H207</f>
        <v>0</v>
      </c>
      <c r="BJ207" s="21" t="s">
        <v>1127</v>
      </c>
      <c r="BK207" s="37">
        <v>734</v>
      </c>
    </row>
    <row r="208" spans="1:63" x14ac:dyDescent="0.25">
      <c r="A208" s="4" t="s">
        <v>155</v>
      </c>
      <c r="B208" s="14" t="s">
        <v>452</v>
      </c>
      <c r="C208" s="117" t="s">
        <v>817</v>
      </c>
      <c r="D208" s="118"/>
      <c r="E208" s="118"/>
      <c r="F208" s="14" t="s">
        <v>1024</v>
      </c>
      <c r="G208" s="21">
        <v>1</v>
      </c>
      <c r="H208" s="21">
        <v>0</v>
      </c>
      <c r="I208" s="21">
        <f>G208*AN208</f>
        <v>0</v>
      </c>
      <c r="J208" s="21">
        <f>G208*AO208</f>
        <v>0</v>
      </c>
      <c r="K208" s="21">
        <f t="shared" si="110"/>
        <v>0</v>
      </c>
      <c r="L208" s="5"/>
      <c r="Y208" s="37">
        <f t="shared" si="111"/>
        <v>0</v>
      </c>
      <c r="AA208" s="37">
        <f t="shared" si="112"/>
        <v>0</v>
      </c>
      <c r="AB208" s="37">
        <f t="shared" si="113"/>
        <v>0</v>
      </c>
      <c r="AC208" s="37">
        <f t="shared" si="114"/>
        <v>0</v>
      </c>
      <c r="AD208" s="37">
        <f t="shared" si="115"/>
        <v>0</v>
      </c>
      <c r="AE208" s="37">
        <f t="shared" si="116"/>
        <v>0</v>
      </c>
      <c r="AF208" s="37">
        <f t="shared" si="117"/>
        <v>0</v>
      </c>
      <c r="AG208" s="37">
        <f t="shared" si="118"/>
        <v>0</v>
      </c>
      <c r="AH208" s="36"/>
      <c r="AI208" s="21">
        <f>IF(AM208=0,K208,0)</f>
        <v>0</v>
      </c>
      <c r="AJ208" s="21">
        <f>IF(AM208=15,K208,0)</f>
        <v>0</v>
      </c>
      <c r="AK208" s="21">
        <f>IF(AM208=21,K208,0)</f>
        <v>0</v>
      </c>
      <c r="AM208" s="37">
        <v>21</v>
      </c>
      <c r="AN208" s="37">
        <f>H208*0.866114790286976</f>
        <v>0</v>
      </c>
      <c r="AO208" s="37">
        <f>H208*(1-0.866114790286976)</f>
        <v>0</v>
      </c>
      <c r="AP208" s="38" t="s">
        <v>13</v>
      </c>
      <c r="AU208" s="37">
        <f t="shared" si="119"/>
        <v>0</v>
      </c>
      <c r="AV208" s="37">
        <f>G208*AN208</f>
        <v>0</v>
      </c>
      <c r="AW208" s="37">
        <f>G208*AO208</f>
        <v>0</v>
      </c>
      <c r="AX208" s="40" t="s">
        <v>1075</v>
      </c>
      <c r="AY208" s="40" t="s">
        <v>1116</v>
      </c>
      <c r="AZ208" s="36" t="s">
        <v>1122</v>
      </c>
      <c r="BB208" s="37">
        <f t="shared" si="120"/>
        <v>0</v>
      </c>
      <c r="BC208" s="37">
        <f>H208/(100-BD208)*100</f>
        <v>0</v>
      </c>
      <c r="BD208" s="37">
        <v>0</v>
      </c>
      <c r="BE208" s="37">
        <f>208</f>
        <v>208</v>
      </c>
      <c r="BG208" s="21">
        <f>G208*AN208</f>
        <v>0</v>
      </c>
      <c r="BH208" s="21">
        <f>G208*AO208</f>
        <v>0</v>
      </c>
      <c r="BI208" s="21">
        <f>G208*H208</f>
        <v>0</v>
      </c>
      <c r="BJ208" s="21" t="s">
        <v>1127</v>
      </c>
      <c r="BK208" s="37">
        <v>734</v>
      </c>
    </row>
    <row r="209" spans="1:63" x14ac:dyDescent="0.25">
      <c r="A209" s="4" t="s">
        <v>156</v>
      </c>
      <c r="B209" s="14" t="s">
        <v>452</v>
      </c>
      <c r="C209" s="117" t="s">
        <v>818</v>
      </c>
      <c r="D209" s="118"/>
      <c r="E209" s="118"/>
      <c r="F209" s="14" t="s">
        <v>1024</v>
      </c>
      <c r="G209" s="21">
        <v>2</v>
      </c>
      <c r="H209" s="21">
        <v>0</v>
      </c>
      <c r="I209" s="21">
        <f>G209*AN209</f>
        <v>0</v>
      </c>
      <c r="J209" s="21">
        <f>G209*AO209</f>
        <v>0</v>
      </c>
      <c r="K209" s="21">
        <f t="shared" si="110"/>
        <v>0</v>
      </c>
      <c r="L209" s="5"/>
      <c r="Y209" s="37">
        <f t="shared" si="111"/>
        <v>0</v>
      </c>
      <c r="AA209" s="37">
        <f t="shared" si="112"/>
        <v>0</v>
      </c>
      <c r="AB209" s="37">
        <f t="shared" si="113"/>
        <v>0</v>
      </c>
      <c r="AC209" s="37">
        <f t="shared" si="114"/>
        <v>0</v>
      </c>
      <c r="AD209" s="37">
        <f t="shared" si="115"/>
        <v>0</v>
      </c>
      <c r="AE209" s="37">
        <f t="shared" si="116"/>
        <v>0</v>
      </c>
      <c r="AF209" s="37">
        <f t="shared" si="117"/>
        <v>0</v>
      </c>
      <c r="AG209" s="37">
        <f t="shared" si="118"/>
        <v>0</v>
      </c>
      <c r="AH209" s="36"/>
      <c r="AI209" s="21">
        <f>IF(AM209=0,K209,0)</f>
        <v>0</v>
      </c>
      <c r="AJ209" s="21">
        <f>IF(AM209=15,K209,0)</f>
        <v>0</v>
      </c>
      <c r="AK209" s="21">
        <f>IF(AM209=21,K209,0)</f>
        <v>0</v>
      </c>
      <c r="AM209" s="37">
        <v>21</v>
      </c>
      <c r="AN209" s="37">
        <f>H209*0.529080310880829</f>
        <v>0</v>
      </c>
      <c r="AO209" s="37">
        <f>H209*(1-0.529080310880829)</f>
        <v>0</v>
      </c>
      <c r="AP209" s="38" t="s">
        <v>13</v>
      </c>
      <c r="AU209" s="37">
        <f t="shared" si="119"/>
        <v>0</v>
      </c>
      <c r="AV209" s="37">
        <f>G209*AN209</f>
        <v>0</v>
      </c>
      <c r="AW209" s="37">
        <f>G209*AO209</f>
        <v>0</v>
      </c>
      <c r="AX209" s="40" t="s">
        <v>1075</v>
      </c>
      <c r="AY209" s="40" t="s">
        <v>1116</v>
      </c>
      <c r="AZ209" s="36" t="s">
        <v>1122</v>
      </c>
      <c r="BB209" s="37">
        <f t="shared" si="120"/>
        <v>0</v>
      </c>
      <c r="BC209" s="37">
        <f>H209/(100-BD209)*100</f>
        <v>0</v>
      </c>
      <c r="BD209" s="37">
        <v>0</v>
      </c>
      <c r="BE209" s="37">
        <f>209</f>
        <v>209</v>
      </c>
      <c r="BG209" s="21">
        <f>G209*AN209</f>
        <v>0</v>
      </c>
      <c r="BH209" s="21">
        <f>G209*AO209</f>
        <v>0</v>
      </c>
      <c r="BI209" s="21">
        <f>G209*H209</f>
        <v>0</v>
      </c>
      <c r="BJ209" s="21" t="s">
        <v>1127</v>
      </c>
      <c r="BK209" s="37">
        <v>734</v>
      </c>
    </row>
    <row r="210" spans="1:63" x14ac:dyDescent="0.25">
      <c r="A210" s="4" t="s">
        <v>157</v>
      </c>
      <c r="B210" s="14" t="s">
        <v>453</v>
      </c>
      <c r="C210" s="117" t="s">
        <v>819</v>
      </c>
      <c r="D210" s="118"/>
      <c r="E210" s="118"/>
      <c r="F210" s="14" t="s">
        <v>1024</v>
      </c>
      <c r="G210" s="21">
        <v>1</v>
      </c>
      <c r="H210" s="21">
        <v>0</v>
      </c>
      <c r="I210" s="21">
        <f>G210*AN210</f>
        <v>0</v>
      </c>
      <c r="J210" s="21">
        <f>G210*AO210</f>
        <v>0</v>
      </c>
      <c r="K210" s="21">
        <f t="shared" si="110"/>
        <v>0</v>
      </c>
      <c r="L210" s="5"/>
      <c r="Y210" s="37">
        <f t="shared" si="111"/>
        <v>0</v>
      </c>
      <c r="AA210" s="37">
        <f t="shared" si="112"/>
        <v>0</v>
      </c>
      <c r="AB210" s="37">
        <f t="shared" si="113"/>
        <v>0</v>
      </c>
      <c r="AC210" s="37">
        <f t="shared" si="114"/>
        <v>0</v>
      </c>
      <c r="AD210" s="37">
        <f t="shared" si="115"/>
        <v>0</v>
      </c>
      <c r="AE210" s="37">
        <f t="shared" si="116"/>
        <v>0</v>
      </c>
      <c r="AF210" s="37">
        <f t="shared" si="117"/>
        <v>0</v>
      </c>
      <c r="AG210" s="37">
        <f t="shared" si="118"/>
        <v>0</v>
      </c>
      <c r="AH210" s="36"/>
      <c r="AI210" s="21">
        <f>IF(AM210=0,K210,0)</f>
        <v>0</v>
      </c>
      <c r="AJ210" s="21">
        <f>IF(AM210=15,K210,0)</f>
        <v>0</v>
      </c>
      <c r="AK210" s="21">
        <f>IF(AM210=21,K210,0)</f>
        <v>0</v>
      </c>
      <c r="AM210" s="37">
        <v>21</v>
      </c>
      <c r="AN210" s="37">
        <f>H210*0.745428973277075</f>
        <v>0</v>
      </c>
      <c r="AO210" s="37">
        <f>H210*(1-0.745428973277075)</f>
        <v>0</v>
      </c>
      <c r="AP210" s="38" t="s">
        <v>13</v>
      </c>
      <c r="AU210" s="37">
        <f t="shared" si="119"/>
        <v>0</v>
      </c>
      <c r="AV210" s="37">
        <f>G210*AN210</f>
        <v>0</v>
      </c>
      <c r="AW210" s="37">
        <f>G210*AO210</f>
        <v>0</v>
      </c>
      <c r="AX210" s="40" t="s">
        <v>1075</v>
      </c>
      <c r="AY210" s="40" t="s">
        <v>1116</v>
      </c>
      <c r="AZ210" s="36" t="s">
        <v>1122</v>
      </c>
      <c r="BB210" s="37">
        <f t="shared" si="120"/>
        <v>0</v>
      </c>
      <c r="BC210" s="37">
        <f>H210/(100-BD210)*100</f>
        <v>0</v>
      </c>
      <c r="BD210" s="37">
        <v>0</v>
      </c>
      <c r="BE210" s="37">
        <f>210</f>
        <v>210</v>
      </c>
      <c r="BG210" s="21">
        <f>G210*AN210</f>
        <v>0</v>
      </c>
      <c r="BH210" s="21">
        <f>G210*AO210</f>
        <v>0</v>
      </c>
      <c r="BI210" s="21">
        <f>G210*H210</f>
        <v>0</v>
      </c>
      <c r="BJ210" s="21" t="s">
        <v>1127</v>
      </c>
      <c r="BK210" s="37">
        <v>734</v>
      </c>
    </row>
    <row r="211" spans="1:63" x14ac:dyDescent="0.25">
      <c r="A211" s="4" t="s">
        <v>158</v>
      </c>
      <c r="B211" s="14" t="s">
        <v>454</v>
      </c>
      <c r="C211" s="117" t="s">
        <v>820</v>
      </c>
      <c r="D211" s="118"/>
      <c r="E211" s="118"/>
      <c r="F211" s="14" t="s">
        <v>1024</v>
      </c>
      <c r="G211" s="21">
        <v>10</v>
      </c>
      <c r="H211" s="21">
        <v>0</v>
      </c>
      <c r="I211" s="21">
        <f>G211*AN211</f>
        <v>0</v>
      </c>
      <c r="J211" s="21">
        <f>G211*AO211</f>
        <v>0</v>
      </c>
      <c r="K211" s="21">
        <f t="shared" si="110"/>
        <v>0</v>
      </c>
      <c r="L211" s="5"/>
      <c r="Y211" s="37">
        <f t="shared" si="111"/>
        <v>0</v>
      </c>
      <c r="AA211" s="37">
        <f t="shared" si="112"/>
        <v>0</v>
      </c>
      <c r="AB211" s="37">
        <f t="shared" si="113"/>
        <v>0</v>
      </c>
      <c r="AC211" s="37">
        <f t="shared" si="114"/>
        <v>0</v>
      </c>
      <c r="AD211" s="37">
        <f t="shared" si="115"/>
        <v>0</v>
      </c>
      <c r="AE211" s="37">
        <f t="shared" si="116"/>
        <v>0</v>
      </c>
      <c r="AF211" s="37">
        <f t="shared" si="117"/>
        <v>0</v>
      </c>
      <c r="AG211" s="37">
        <f t="shared" si="118"/>
        <v>0</v>
      </c>
      <c r="AH211" s="36"/>
      <c r="AI211" s="21">
        <f>IF(AM211=0,K211,0)</f>
        <v>0</v>
      </c>
      <c r="AJ211" s="21">
        <f>IF(AM211=15,K211,0)</f>
        <v>0</v>
      </c>
      <c r="AK211" s="21">
        <f>IF(AM211=21,K211,0)</f>
        <v>0</v>
      </c>
      <c r="AM211" s="37">
        <v>21</v>
      </c>
      <c r="AN211" s="37">
        <f>H211*0.858661971830986</f>
        <v>0</v>
      </c>
      <c r="AO211" s="37">
        <f>H211*(1-0.858661971830986)</f>
        <v>0</v>
      </c>
      <c r="AP211" s="38" t="s">
        <v>13</v>
      </c>
      <c r="AU211" s="37">
        <f t="shared" si="119"/>
        <v>0</v>
      </c>
      <c r="AV211" s="37">
        <f>G211*AN211</f>
        <v>0</v>
      </c>
      <c r="AW211" s="37">
        <f>G211*AO211</f>
        <v>0</v>
      </c>
      <c r="AX211" s="40" t="s">
        <v>1075</v>
      </c>
      <c r="AY211" s="40" t="s">
        <v>1116</v>
      </c>
      <c r="AZ211" s="36" t="s">
        <v>1122</v>
      </c>
      <c r="BB211" s="37">
        <f t="shared" si="120"/>
        <v>0</v>
      </c>
      <c r="BC211" s="37">
        <f>H211/(100-BD211)*100</f>
        <v>0</v>
      </c>
      <c r="BD211" s="37">
        <v>0</v>
      </c>
      <c r="BE211" s="37">
        <f>211</f>
        <v>211</v>
      </c>
      <c r="BG211" s="21">
        <f>G211*AN211</f>
        <v>0</v>
      </c>
      <c r="BH211" s="21">
        <f>G211*AO211</f>
        <v>0</v>
      </c>
      <c r="BI211" s="21">
        <f>G211*H211</f>
        <v>0</v>
      </c>
      <c r="BJ211" s="21" t="s">
        <v>1127</v>
      </c>
      <c r="BK211" s="37">
        <v>734</v>
      </c>
    </row>
    <row r="212" spans="1:63" x14ac:dyDescent="0.25">
      <c r="A212" s="4" t="s">
        <v>159</v>
      </c>
      <c r="B212" s="14" t="s">
        <v>455</v>
      </c>
      <c r="C212" s="117" t="s">
        <v>821</v>
      </c>
      <c r="D212" s="118"/>
      <c r="E212" s="118"/>
      <c r="F212" s="14" t="s">
        <v>1024</v>
      </c>
      <c r="G212" s="21">
        <v>10</v>
      </c>
      <c r="H212" s="21">
        <v>0</v>
      </c>
      <c r="I212" s="21">
        <f>G212*AN212</f>
        <v>0</v>
      </c>
      <c r="J212" s="21">
        <f>G212*AO212</f>
        <v>0</v>
      </c>
      <c r="K212" s="21">
        <f t="shared" si="110"/>
        <v>0</v>
      </c>
      <c r="L212" s="5"/>
      <c r="Y212" s="37">
        <f t="shared" si="111"/>
        <v>0</v>
      </c>
      <c r="AA212" s="37">
        <f t="shared" si="112"/>
        <v>0</v>
      </c>
      <c r="AB212" s="37">
        <f t="shared" si="113"/>
        <v>0</v>
      </c>
      <c r="AC212" s="37">
        <f t="shared" si="114"/>
        <v>0</v>
      </c>
      <c r="AD212" s="37">
        <f t="shared" si="115"/>
        <v>0</v>
      </c>
      <c r="AE212" s="37">
        <f t="shared" si="116"/>
        <v>0</v>
      </c>
      <c r="AF212" s="37">
        <f t="shared" si="117"/>
        <v>0</v>
      </c>
      <c r="AG212" s="37">
        <f t="shared" si="118"/>
        <v>0</v>
      </c>
      <c r="AH212" s="36"/>
      <c r="AI212" s="21">
        <f>IF(AM212=0,K212,0)</f>
        <v>0</v>
      </c>
      <c r="AJ212" s="21">
        <f>IF(AM212=15,K212,0)</f>
        <v>0</v>
      </c>
      <c r="AK212" s="21">
        <f>IF(AM212=21,K212,0)</f>
        <v>0</v>
      </c>
      <c r="AM212" s="37">
        <v>21</v>
      </c>
      <c r="AN212" s="37">
        <f>H212*0.841193548387097</f>
        <v>0</v>
      </c>
      <c r="AO212" s="37">
        <f>H212*(1-0.841193548387097)</f>
        <v>0</v>
      </c>
      <c r="AP212" s="38" t="s">
        <v>13</v>
      </c>
      <c r="AU212" s="37">
        <f t="shared" si="119"/>
        <v>0</v>
      </c>
      <c r="AV212" s="37">
        <f>G212*AN212</f>
        <v>0</v>
      </c>
      <c r="AW212" s="37">
        <f>G212*AO212</f>
        <v>0</v>
      </c>
      <c r="AX212" s="40" t="s">
        <v>1075</v>
      </c>
      <c r="AY212" s="40" t="s">
        <v>1116</v>
      </c>
      <c r="AZ212" s="36" t="s">
        <v>1122</v>
      </c>
      <c r="BB212" s="37">
        <f t="shared" si="120"/>
        <v>0</v>
      </c>
      <c r="BC212" s="37">
        <f>H212/(100-BD212)*100</f>
        <v>0</v>
      </c>
      <c r="BD212" s="37">
        <v>0</v>
      </c>
      <c r="BE212" s="37">
        <f>212</f>
        <v>212</v>
      </c>
      <c r="BG212" s="21">
        <f>G212*AN212</f>
        <v>0</v>
      </c>
      <c r="BH212" s="21">
        <f>G212*AO212</f>
        <v>0</v>
      </c>
      <c r="BI212" s="21">
        <f>G212*H212</f>
        <v>0</v>
      </c>
      <c r="BJ212" s="21" t="s">
        <v>1127</v>
      </c>
      <c r="BK212" s="37">
        <v>734</v>
      </c>
    </row>
    <row r="213" spans="1:63" x14ac:dyDescent="0.25">
      <c r="A213" s="4" t="s">
        <v>160</v>
      </c>
      <c r="B213" s="14" t="s">
        <v>382</v>
      </c>
      <c r="C213" s="117" t="s">
        <v>822</v>
      </c>
      <c r="D213" s="118"/>
      <c r="E213" s="118"/>
      <c r="F213" s="14" t="s">
        <v>1024</v>
      </c>
      <c r="G213" s="21">
        <v>4</v>
      </c>
      <c r="H213" s="21">
        <v>0</v>
      </c>
      <c r="I213" s="21">
        <f>G213*AN213</f>
        <v>0</v>
      </c>
      <c r="J213" s="21">
        <f>G213*AO213</f>
        <v>0</v>
      </c>
      <c r="K213" s="21">
        <f t="shared" si="110"/>
        <v>0</v>
      </c>
      <c r="L213" s="5"/>
      <c r="Y213" s="37">
        <f t="shared" si="111"/>
        <v>0</v>
      </c>
      <c r="AA213" s="37">
        <f t="shared" si="112"/>
        <v>0</v>
      </c>
      <c r="AB213" s="37">
        <f t="shared" si="113"/>
        <v>0</v>
      </c>
      <c r="AC213" s="37">
        <f t="shared" si="114"/>
        <v>0</v>
      </c>
      <c r="AD213" s="37">
        <f t="shared" si="115"/>
        <v>0</v>
      </c>
      <c r="AE213" s="37">
        <f t="shared" si="116"/>
        <v>0</v>
      </c>
      <c r="AF213" s="37">
        <f t="shared" si="117"/>
        <v>0</v>
      </c>
      <c r="AG213" s="37">
        <f t="shared" si="118"/>
        <v>0</v>
      </c>
      <c r="AH213" s="36"/>
      <c r="AI213" s="21">
        <f>IF(AM213=0,K213,0)</f>
        <v>0</v>
      </c>
      <c r="AJ213" s="21">
        <f>IF(AM213=15,K213,0)</f>
        <v>0</v>
      </c>
      <c r="AK213" s="21">
        <f>IF(AM213=21,K213,0)</f>
        <v>0</v>
      </c>
      <c r="AM213" s="37">
        <v>21</v>
      </c>
      <c r="AN213" s="37">
        <f>H213*0.516634050880626</f>
        <v>0</v>
      </c>
      <c r="AO213" s="37">
        <f>H213*(1-0.516634050880626)</f>
        <v>0</v>
      </c>
      <c r="AP213" s="38" t="s">
        <v>13</v>
      </c>
      <c r="AU213" s="37">
        <f t="shared" si="119"/>
        <v>0</v>
      </c>
      <c r="AV213" s="37">
        <f>G213*AN213</f>
        <v>0</v>
      </c>
      <c r="AW213" s="37">
        <f>G213*AO213</f>
        <v>0</v>
      </c>
      <c r="AX213" s="40" t="s">
        <v>1075</v>
      </c>
      <c r="AY213" s="40" t="s">
        <v>1116</v>
      </c>
      <c r="AZ213" s="36" t="s">
        <v>1122</v>
      </c>
      <c r="BB213" s="37">
        <f t="shared" si="120"/>
        <v>0</v>
      </c>
      <c r="BC213" s="37">
        <f>H213/(100-BD213)*100</f>
        <v>0</v>
      </c>
      <c r="BD213" s="37">
        <v>0</v>
      </c>
      <c r="BE213" s="37">
        <f>213</f>
        <v>213</v>
      </c>
      <c r="BG213" s="21">
        <f>G213*AN213</f>
        <v>0</v>
      </c>
      <c r="BH213" s="21">
        <f>G213*AO213</f>
        <v>0</v>
      </c>
      <c r="BI213" s="21">
        <f>G213*H213</f>
        <v>0</v>
      </c>
      <c r="BJ213" s="21" t="s">
        <v>1127</v>
      </c>
      <c r="BK213" s="37">
        <v>734</v>
      </c>
    </row>
    <row r="214" spans="1:63" x14ac:dyDescent="0.25">
      <c r="A214" s="4" t="s">
        <v>161</v>
      </c>
      <c r="B214" s="14" t="s">
        <v>456</v>
      </c>
      <c r="C214" s="117" t="s">
        <v>823</v>
      </c>
      <c r="D214" s="118"/>
      <c r="E214" s="118"/>
      <c r="F214" s="14" t="s">
        <v>1024</v>
      </c>
      <c r="G214" s="21">
        <v>10</v>
      </c>
      <c r="H214" s="21">
        <v>0</v>
      </c>
      <c r="I214" s="21">
        <f>G214*AN214</f>
        <v>0</v>
      </c>
      <c r="J214" s="21">
        <f>G214*AO214</f>
        <v>0</v>
      </c>
      <c r="K214" s="21">
        <f t="shared" si="110"/>
        <v>0</v>
      </c>
      <c r="L214" s="5"/>
      <c r="Y214" s="37">
        <f t="shared" si="111"/>
        <v>0</v>
      </c>
      <c r="AA214" s="37">
        <f t="shared" si="112"/>
        <v>0</v>
      </c>
      <c r="AB214" s="37">
        <f t="shared" si="113"/>
        <v>0</v>
      </c>
      <c r="AC214" s="37">
        <f t="shared" si="114"/>
        <v>0</v>
      </c>
      <c r="AD214" s="37">
        <f t="shared" si="115"/>
        <v>0</v>
      </c>
      <c r="AE214" s="37">
        <f t="shared" si="116"/>
        <v>0</v>
      </c>
      <c r="AF214" s="37">
        <f t="shared" si="117"/>
        <v>0</v>
      </c>
      <c r="AG214" s="37">
        <f t="shared" si="118"/>
        <v>0</v>
      </c>
      <c r="AH214" s="36"/>
      <c r="AI214" s="21">
        <f>IF(AM214=0,K214,0)</f>
        <v>0</v>
      </c>
      <c r="AJ214" s="21">
        <f>IF(AM214=15,K214,0)</f>
        <v>0</v>
      </c>
      <c r="AK214" s="21">
        <f>IF(AM214=21,K214,0)</f>
        <v>0</v>
      </c>
      <c r="AM214" s="37">
        <v>21</v>
      </c>
      <c r="AN214" s="37">
        <f>H214*0.417130144605117</f>
        <v>0</v>
      </c>
      <c r="AO214" s="37">
        <f>H214*(1-0.417130144605117)</f>
        <v>0</v>
      </c>
      <c r="AP214" s="38" t="s">
        <v>13</v>
      </c>
      <c r="AU214" s="37">
        <f t="shared" si="119"/>
        <v>0</v>
      </c>
      <c r="AV214" s="37">
        <f>G214*AN214</f>
        <v>0</v>
      </c>
      <c r="AW214" s="37">
        <f>G214*AO214</f>
        <v>0</v>
      </c>
      <c r="AX214" s="40" t="s">
        <v>1075</v>
      </c>
      <c r="AY214" s="40" t="s">
        <v>1116</v>
      </c>
      <c r="AZ214" s="36" t="s">
        <v>1122</v>
      </c>
      <c r="BB214" s="37">
        <f t="shared" si="120"/>
        <v>0</v>
      </c>
      <c r="BC214" s="37">
        <f>H214/(100-BD214)*100</f>
        <v>0</v>
      </c>
      <c r="BD214" s="37">
        <v>0</v>
      </c>
      <c r="BE214" s="37">
        <f>214</f>
        <v>214</v>
      </c>
      <c r="BG214" s="21">
        <f>G214*AN214</f>
        <v>0</v>
      </c>
      <c r="BH214" s="21">
        <f>G214*AO214</f>
        <v>0</v>
      </c>
      <c r="BI214" s="21">
        <f>G214*H214</f>
        <v>0</v>
      </c>
      <c r="BJ214" s="21" t="s">
        <v>1127</v>
      </c>
      <c r="BK214" s="37">
        <v>734</v>
      </c>
    </row>
    <row r="215" spans="1:63" x14ac:dyDescent="0.25">
      <c r="A215" s="4" t="s">
        <v>162</v>
      </c>
      <c r="B215" s="14" t="s">
        <v>457</v>
      </c>
      <c r="C215" s="117" t="s">
        <v>824</v>
      </c>
      <c r="D215" s="118"/>
      <c r="E215" s="118"/>
      <c r="F215" s="14" t="s">
        <v>1024</v>
      </c>
      <c r="G215" s="21">
        <v>4</v>
      </c>
      <c r="H215" s="21">
        <v>0</v>
      </c>
      <c r="I215" s="21">
        <f>G215*AN215</f>
        <v>0</v>
      </c>
      <c r="J215" s="21">
        <f>G215*AO215</f>
        <v>0</v>
      </c>
      <c r="K215" s="21">
        <f t="shared" si="110"/>
        <v>0</v>
      </c>
      <c r="L215" s="5"/>
      <c r="Y215" s="37">
        <f t="shared" si="111"/>
        <v>0</v>
      </c>
      <c r="AA215" s="37">
        <f t="shared" si="112"/>
        <v>0</v>
      </c>
      <c r="AB215" s="37">
        <f t="shared" si="113"/>
        <v>0</v>
      </c>
      <c r="AC215" s="37">
        <f t="shared" si="114"/>
        <v>0</v>
      </c>
      <c r="AD215" s="37">
        <f t="shared" si="115"/>
        <v>0</v>
      </c>
      <c r="AE215" s="37">
        <f t="shared" si="116"/>
        <v>0</v>
      </c>
      <c r="AF215" s="37">
        <f t="shared" si="117"/>
        <v>0</v>
      </c>
      <c r="AG215" s="37">
        <f t="shared" si="118"/>
        <v>0</v>
      </c>
      <c r="AH215" s="36"/>
      <c r="AI215" s="21">
        <f>IF(AM215=0,K215,0)</f>
        <v>0</v>
      </c>
      <c r="AJ215" s="21">
        <f>IF(AM215=15,K215,0)</f>
        <v>0</v>
      </c>
      <c r="AK215" s="21">
        <f>IF(AM215=21,K215,0)</f>
        <v>0</v>
      </c>
      <c r="AM215" s="37">
        <v>21</v>
      </c>
      <c r="AN215" s="37">
        <f>H215*0.507596067917784</f>
        <v>0</v>
      </c>
      <c r="AO215" s="37">
        <f>H215*(1-0.507596067917784)</f>
        <v>0</v>
      </c>
      <c r="AP215" s="38" t="s">
        <v>13</v>
      </c>
      <c r="AU215" s="37">
        <f t="shared" si="119"/>
        <v>0</v>
      </c>
      <c r="AV215" s="37">
        <f>G215*AN215</f>
        <v>0</v>
      </c>
      <c r="AW215" s="37">
        <f>G215*AO215</f>
        <v>0</v>
      </c>
      <c r="AX215" s="40" t="s">
        <v>1075</v>
      </c>
      <c r="AY215" s="40" t="s">
        <v>1116</v>
      </c>
      <c r="AZ215" s="36" t="s">
        <v>1122</v>
      </c>
      <c r="BB215" s="37">
        <f t="shared" si="120"/>
        <v>0</v>
      </c>
      <c r="BC215" s="37">
        <f>H215/(100-BD215)*100</f>
        <v>0</v>
      </c>
      <c r="BD215" s="37">
        <v>0</v>
      </c>
      <c r="BE215" s="37">
        <f>215</f>
        <v>215</v>
      </c>
      <c r="BG215" s="21">
        <f>G215*AN215</f>
        <v>0</v>
      </c>
      <c r="BH215" s="21">
        <f>G215*AO215</f>
        <v>0</v>
      </c>
      <c r="BI215" s="21">
        <f>G215*H215</f>
        <v>0</v>
      </c>
      <c r="BJ215" s="21" t="s">
        <v>1127</v>
      </c>
      <c r="BK215" s="37">
        <v>734</v>
      </c>
    </row>
    <row r="216" spans="1:63" x14ac:dyDescent="0.25">
      <c r="A216" s="4" t="s">
        <v>163</v>
      </c>
      <c r="B216" s="14" t="s">
        <v>458</v>
      </c>
      <c r="C216" s="117" t="s">
        <v>825</v>
      </c>
      <c r="D216" s="118"/>
      <c r="E216" s="118"/>
      <c r="F216" s="14" t="s">
        <v>1024</v>
      </c>
      <c r="G216" s="21">
        <v>2</v>
      </c>
      <c r="H216" s="21">
        <v>0</v>
      </c>
      <c r="I216" s="21">
        <f>G216*AN216</f>
        <v>0</v>
      </c>
      <c r="J216" s="21">
        <f>G216*AO216</f>
        <v>0</v>
      </c>
      <c r="K216" s="21">
        <f t="shared" si="110"/>
        <v>0</v>
      </c>
      <c r="L216" s="5"/>
      <c r="Y216" s="37">
        <f t="shared" si="111"/>
        <v>0</v>
      </c>
      <c r="AA216" s="37">
        <f t="shared" si="112"/>
        <v>0</v>
      </c>
      <c r="AB216" s="37">
        <f t="shared" si="113"/>
        <v>0</v>
      </c>
      <c r="AC216" s="37">
        <f t="shared" si="114"/>
        <v>0</v>
      </c>
      <c r="AD216" s="37">
        <f t="shared" si="115"/>
        <v>0</v>
      </c>
      <c r="AE216" s="37">
        <f t="shared" si="116"/>
        <v>0</v>
      </c>
      <c r="AF216" s="37">
        <f t="shared" si="117"/>
        <v>0</v>
      </c>
      <c r="AG216" s="37">
        <f t="shared" si="118"/>
        <v>0</v>
      </c>
      <c r="AH216" s="36"/>
      <c r="AI216" s="21">
        <f>IF(AM216=0,K216,0)</f>
        <v>0</v>
      </c>
      <c r="AJ216" s="21">
        <f>IF(AM216=15,K216,0)</f>
        <v>0</v>
      </c>
      <c r="AK216" s="21">
        <f>IF(AM216=21,K216,0)</f>
        <v>0</v>
      </c>
      <c r="AM216" s="37">
        <v>21</v>
      </c>
      <c r="AN216" s="37">
        <f>H216*0.469172932330827</f>
        <v>0</v>
      </c>
      <c r="AO216" s="37">
        <f>H216*(1-0.469172932330827)</f>
        <v>0</v>
      </c>
      <c r="AP216" s="38" t="s">
        <v>13</v>
      </c>
      <c r="AU216" s="37">
        <f t="shared" si="119"/>
        <v>0</v>
      </c>
      <c r="AV216" s="37">
        <f>G216*AN216</f>
        <v>0</v>
      </c>
      <c r="AW216" s="37">
        <f>G216*AO216</f>
        <v>0</v>
      </c>
      <c r="AX216" s="40" t="s">
        <v>1075</v>
      </c>
      <c r="AY216" s="40" t="s">
        <v>1116</v>
      </c>
      <c r="AZ216" s="36" t="s">
        <v>1122</v>
      </c>
      <c r="BB216" s="37">
        <f t="shared" si="120"/>
        <v>0</v>
      </c>
      <c r="BC216" s="37">
        <f>H216/(100-BD216)*100</f>
        <v>0</v>
      </c>
      <c r="BD216" s="37">
        <v>0</v>
      </c>
      <c r="BE216" s="37">
        <f>216</f>
        <v>216</v>
      </c>
      <c r="BG216" s="21">
        <f>G216*AN216</f>
        <v>0</v>
      </c>
      <c r="BH216" s="21">
        <f>G216*AO216</f>
        <v>0</v>
      </c>
      <c r="BI216" s="21">
        <f>G216*H216</f>
        <v>0</v>
      </c>
      <c r="BJ216" s="21" t="s">
        <v>1127</v>
      </c>
      <c r="BK216" s="37">
        <v>734</v>
      </c>
    </row>
    <row r="217" spans="1:63" x14ac:dyDescent="0.25">
      <c r="A217" s="4" t="s">
        <v>164</v>
      </c>
      <c r="B217" s="14" t="s">
        <v>459</v>
      </c>
      <c r="C217" s="117" t="s">
        <v>826</v>
      </c>
      <c r="D217" s="118"/>
      <c r="E217" s="118"/>
      <c r="F217" s="14" t="s">
        <v>1027</v>
      </c>
      <c r="G217" s="21">
        <v>4</v>
      </c>
      <c r="H217" s="21">
        <v>0</v>
      </c>
      <c r="I217" s="21">
        <f>G217*AN217</f>
        <v>0</v>
      </c>
      <c r="J217" s="21">
        <f>G217*AO217</f>
        <v>0</v>
      </c>
      <c r="K217" s="21">
        <f t="shared" si="110"/>
        <v>0</v>
      </c>
      <c r="L217" s="5"/>
      <c r="Y217" s="37">
        <f t="shared" si="111"/>
        <v>0</v>
      </c>
      <c r="AA217" s="37">
        <f t="shared" si="112"/>
        <v>0</v>
      </c>
      <c r="AB217" s="37">
        <f t="shared" si="113"/>
        <v>0</v>
      </c>
      <c r="AC217" s="37">
        <f t="shared" si="114"/>
        <v>0</v>
      </c>
      <c r="AD217" s="37">
        <f t="shared" si="115"/>
        <v>0</v>
      </c>
      <c r="AE217" s="37">
        <f t="shared" si="116"/>
        <v>0</v>
      </c>
      <c r="AF217" s="37">
        <f t="shared" si="117"/>
        <v>0</v>
      </c>
      <c r="AG217" s="37">
        <f t="shared" si="118"/>
        <v>0</v>
      </c>
      <c r="AH217" s="36"/>
      <c r="AI217" s="21">
        <f>IF(AM217=0,K217,0)</f>
        <v>0</v>
      </c>
      <c r="AJ217" s="21">
        <f>IF(AM217=15,K217,0)</f>
        <v>0</v>
      </c>
      <c r="AK217" s="21">
        <f>IF(AM217=21,K217,0)</f>
        <v>0</v>
      </c>
      <c r="AM217" s="37">
        <v>21</v>
      </c>
      <c r="AN217" s="37">
        <f>H217*0.456549935149157</f>
        <v>0</v>
      </c>
      <c r="AO217" s="37">
        <f>H217*(1-0.456549935149157)</f>
        <v>0</v>
      </c>
      <c r="AP217" s="38" t="s">
        <v>13</v>
      </c>
      <c r="AU217" s="37">
        <f t="shared" si="119"/>
        <v>0</v>
      </c>
      <c r="AV217" s="37">
        <f>G217*AN217</f>
        <v>0</v>
      </c>
      <c r="AW217" s="37">
        <f>G217*AO217</f>
        <v>0</v>
      </c>
      <c r="AX217" s="40" t="s">
        <v>1075</v>
      </c>
      <c r="AY217" s="40" t="s">
        <v>1116</v>
      </c>
      <c r="AZ217" s="36" t="s">
        <v>1122</v>
      </c>
      <c r="BB217" s="37">
        <f t="shared" si="120"/>
        <v>0</v>
      </c>
      <c r="BC217" s="37">
        <f>H217/(100-BD217)*100</f>
        <v>0</v>
      </c>
      <c r="BD217" s="37">
        <v>0</v>
      </c>
      <c r="BE217" s="37">
        <f>217</f>
        <v>217</v>
      </c>
      <c r="BG217" s="21">
        <f>G217*AN217</f>
        <v>0</v>
      </c>
      <c r="BH217" s="21">
        <f>G217*AO217</f>
        <v>0</v>
      </c>
      <c r="BI217" s="21">
        <f>G217*H217</f>
        <v>0</v>
      </c>
      <c r="BJ217" s="21" t="s">
        <v>1127</v>
      </c>
      <c r="BK217" s="37">
        <v>734</v>
      </c>
    </row>
    <row r="218" spans="1:63" x14ac:dyDescent="0.25">
      <c r="A218" s="6"/>
      <c r="B218" s="15" t="s">
        <v>460</v>
      </c>
      <c r="C218" s="121" t="s">
        <v>827</v>
      </c>
      <c r="D218" s="122"/>
      <c r="E218" s="122"/>
      <c r="F218" s="19" t="s">
        <v>6</v>
      </c>
      <c r="G218" s="19" t="s">
        <v>6</v>
      </c>
      <c r="H218" s="19" t="s">
        <v>6</v>
      </c>
      <c r="I218" s="43">
        <f>SUM(I219:I219)</f>
        <v>0</v>
      </c>
      <c r="J218" s="43">
        <f>SUM(J219:J219)</f>
        <v>0</v>
      </c>
      <c r="K218" s="43">
        <f>SUM(K219:K219)</f>
        <v>0</v>
      </c>
      <c r="L218" s="5"/>
      <c r="AH218" s="36"/>
      <c r="AR218" s="43">
        <f>SUM(AI219:AI219)</f>
        <v>0</v>
      </c>
      <c r="AS218" s="43">
        <f>SUM(AJ219:AJ219)</f>
        <v>0</v>
      </c>
      <c r="AT218" s="43">
        <f>SUM(AK219:AK219)</f>
        <v>0</v>
      </c>
    </row>
    <row r="219" spans="1:63" x14ac:dyDescent="0.25">
      <c r="A219" s="4" t="s">
        <v>165</v>
      </c>
      <c r="B219" s="14" t="s">
        <v>461</v>
      </c>
      <c r="C219" s="117" t="s">
        <v>828</v>
      </c>
      <c r="D219" s="118"/>
      <c r="E219" s="118"/>
      <c r="F219" s="14" t="s">
        <v>1023</v>
      </c>
      <c r="G219" s="21">
        <v>223</v>
      </c>
      <c r="H219" s="21">
        <v>0</v>
      </c>
      <c r="I219" s="21">
        <f>G219*AN219</f>
        <v>0</v>
      </c>
      <c r="J219" s="21">
        <f>G219*AO219</f>
        <v>0</v>
      </c>
      <c r="K219" s="21">
        <f>G219*H219</f>
        <v>0</v>
      </c>
      <c r="L219" s="5"/>
      <c r="Y219" s="37">
        <f>IF(AP219="5",BI219,0)</f>
        <v>0</v>
      </c>
      <c r="AA219" s="37">
        <f>IF(AP219="1",BG219,0)</f>
        <v>0</v>
      </c>
      <c r="AB219" s="37">
        <f>IF(AP219="1",BH219,0)</f>
        <v>0</v>
      </c>
      <c r="AC219" s="37">
        <f>IF(AP219="7",BG219,0)</f>
        <v>0</v>
      </c>
      <c r="AD219" s="37">
        <f>IF(AP219="7",BH219,0)</f>
        <v>0</v>
      </c>
      <c r="AE219" s="37">
        <f>IF(AP219="2",BG219,0)</f>
        <v>0</v>
      </c>
      <c r="AF219" s="37">
        <f>IF(AP219="2",BH219,0)</f>
        <v>0</v>
      </c>
      <c r="AG219" s="37">
        <f>IF(AP219="0",BI219,0)</f>
        <v>0</v>
      </c>
      <c r="AH219" s="36"/>
      <c r="AI219" s="21">
        <f>IF(AM219=0,K219,0)</f>
        <v>0</v>
      </c>
      <c r="AJ219" s="21">
        <f>IF(AM219=15,K219,0)</f>
        <v>0</v>
      </c>
      <c r="AK219" s="21">
        <f>IF(AM219=21,K219,0)</f>
        <v>0</v>
      </c>
      <c r="AM219" s="37">
        <v>21</v>
      </c>
      <c r="AN219" s="37">
        <f>H219*0.030811053292661</f>
        <v>0</v>
      </c>
      <c r="AO219" s="37">
        <f>H219*(1-0.030811053292661)</f>
        <v>0</v>
      </c>
      <c r="AP219" s="38" t="s">
        <v>13</v>
      </c>
      <c r="AU219" s="37">
        <f>AV219+AW219</f>
        <v>0</v>
      </c>
      <c r="AV219" s="37">
        <f>G219*AN219</f>
        <v>0</v>
      </c>
      <c r="AW219" s="37">
        <f>G219*AO219</f>
        <v>0</v>
      </c>
      <c r="AX219" s="40" t="s">
        <v>1076</v>
      </c>
      <c r="AY219" s="40" t="s">
        <v>1116</v>
      </c>
      <c r="AZ219" s="36" t="s">
        <v>1122</v>
      </c>
      <c r="BB219" s="37">
        <f>AV219+AW219</f>
        <v>0</v>
      </c>
      <c r="BC219" s="37">
        <f>H219/(100-BD219)*100</f>
        <v>0</v>
      </c>
      <c r="BD219" s="37">
        <v>0</v>
      </c>
      <c r="BE219" s="37">
        <f>219</f>
        <v>219</v>
      </c>
      <c r="BG219" s="21">
        <f>G219*AN219</f>
        <v>0</v>
      </c>
      <c r="BH219" s="21">
        <f>G219*AO219</f>
        <v>0</v>
      </c>
      <c r="BI219" s="21">
        <f>G219*H219</f>
        <v>0</v>
      </c>
      <c r="BJ219" s="21" t="s">
        <v>1127</v>
      </c>
      <c r="BK219" s="37">
        <v>735</v>
      </c>
    </row>
    <row r="220" spans="1:63" x14ac:dyDescent="0.25">
      <c r="A220" s="5"/>
      <c r="C220" s="119" t="s">
        <v>829</v>
      </c>
      <c r="D220" s="120"/>
      <c r="E220" s="120"/>
      <c r="G220" s="22">
        <v>223</v>
      </c>
      <c r="L220" s="5"/>
    </row>
    <row r="221" spans="1:63" x14ac:dyDescent="0.25">
      <c r="A221" s="6"/>
      <c r="B221" s="15" t="s">
        <v>462</v>
      </c>
      <c r="C221" s="121" t="s">
        <v>830</v>
      </c>
      <c r="D221" s="122"/>
      <c r="E221" s="122"/>
      <c r="F221" s="19" t="s">
        <v>6</v>
      </c>
      <c r="G221" s="19" t="s">
        <v>6</v>
      </c>
      <c r="H221" s="19" t="s">
        <v>6</v>
      </c>
      <c r="I221" s="43">
        <f>SUM(I222:I224)</f>
        <v>0</v>
      </c>
      <c r="J221" s="43">
        <f>SUM(J222:J224)</f>
        <v>0</v>
      </c>
      <c r="K221" s="43">
        <f>SUM(K222:K224)</f>
        <v>0</v>
      </c>
      <c r="L221" s="5"/>
      <c r="AH221" s="36"/>
      <c r="AR221" s="43">
        <f>SUM(AI222:AI224)</f>
        <v>0</v>
      </c>
      <c r="AS221" s="43">
        <f>SUM(AJ222:AJ224)</f>
        <v>0</v>
      </c>
      <c r="AT221" s="43">
        <f>SUM(AK222:AK224)</f>
        <v>0</v>
      </c>
    </row>
    <row r="222" spans="1:63" x14ac:dyDescent="0.25">
      <c r="A222" s="4" t="s">
        <v>166</v>
      </c>
      <c r="B222" s="14" t="s">
        <v>463</v>
      </c>
      <c r="C222" s="117" t="s">
        <v>831</v>
      </c>
      <c r="D222" s="118"/>
      <c r="E222" s="118"/>
      <c r="F222" s="14" t="s">
        <v>1023</v>
      </c>
      <c r="G222" s="21">
        <v>0.18</v>
      </c>
      <c r="H222" s="21">
        <v>0</v>
      </c>
      <c r="I222" s="21">
        <f>G222*AN222</f>
        <v>0</v>
      </c>
      <c r="J222" s="21">
        <f>G222*AO222</f>
        <v>0</v>
      </c>
      <c r="K222" s="21">
        <f>G222*H222</f>
        <v>0</v>
      </c>
      <c r="L222" s="5"/>
      <c r="Y222" s="37">
        <f>IF(AP222="5",BI222,0)</f>
        <v>0</v>
      </c>
      <c r="AA222" s="37">
        <f>IF(AP222="1",BG222,0)</f>
        <v>0</v>
      </c>
      <c r="AB222" s="37">
        <f>IF(AP222="1",BH222,0)</f>
        <v>0</v>
      </c>
      <c r="AC222" s="37">
        <f>IF(AP222="7",BG222,0)</f>
        <v>0</v>
      </c>
      <c r="AD222" s="37">
        <f>IF(AP222="7",BH222,0)</f>
        <v>0</v>
      </c>
      <c r="AE222" s="37">
        <f>IF(AP222="2",BG222,0)</f>
        <v>0</v>
      </c>
      <c r="AF222" s="37">
        <f>IF(AP222="2",BH222,0)</f>
        <v>0</v>
      </c>
      <c r="AG222" s="37">
        <f>IF(AP222="0",BI222,0)</f>
        <v>0</v>
      </c>
      <c r="AH222" s="36"/>
      <c r="AI222" s="21">
        <f>IF(AM222=0,K222,0)</f>
        <v>0</v>
      </c>
      <c r="AJ222" s="21">
        <f>IF(AM222=15,K222,0)</f>
        <v>0</v>
      </c>
      <c r="AK222" s="21">
        <f>IF(AM222=21,K222,0)</f>
        <v>0</v>
      </c>
      <c r="AM222" s="37">
        <v>21</v>
      </c>
      <c r="AN222" s="37">
        <f>H222*0.524884931506849</f>
        <v>0</v>
      </c>
      <c r="AO222" s="37">
        <f>H222*(1-0.524884931506849)</f>
        <v>0</v>
      </c>
      <c r="AP222" s="38" t="s">
        <v>13</v>
      </c>
      <c r="AU222" s="37">
        <f>AV222+AW222</f>
        <v>0</v>
      </c>
      <c r="AV222" s="37">
        <f>G222*AN222</f>
        <v>0</v>
      </c>
      <c r="AW222" s="37">
        <f>G222*AO222</f>
        <v>0</v>
      </c>
      <c r="AX222" s="40" t="s">
        <v>1077</v>
      </c>
      <c r="AY222" s="40" t="s">
        <v>1117</v>
      </c>
      <c r="AZ222" s="36" t="s">
        <v>1122</v>
      </c>
      <c r="BB222" s="37">
        <f>AV222+AW222</f>
        <v>0</v>
      </c>
      <c r="BC222" s="37">
        <f>H222/(100-BD222)*100</f>
        <v>0</v>
      </c>
      <c r="BD222" s="37">
        <v>0</v>
      </c>
      <c r="BE222" s="37">
        <f>222</f>
        <v>222</v>
      </c>
      <c r="BG222" s="21">
        <f>G222*AN222</f>
        <v>0</v>
      </c>
      <c r="BH222" s="21">
        <f>G222*AO222</f>
        <v>0</v>
      </c>
      <c r="BI222" s="21">
        <f>G222*H222</f>
        <v>0</v>
      </c>
      <c r="BJ222" s="21" t="s">
        <v>1127</v>
      </c>
      <c r="BK222" s="37">
        <v>762</v>
      </c>
    </row>
    <row r="223" spans="1:63" x14ac:dyDescent="0.25">
      <c r="A223" s="5"/>
      <c r="C223" s="119" t="s">
        <v>688</v>
      </c>
      <c r="D223" s="120"/>
      <c r="E223" s="120"/>
      <c r="G223" s="22">
        <v>0.18</v>
      </c>
      <c r="L223" s="5"/>
    </row>
    <row r="224" spans="1:63" x14ac:dyDescent="0.25">
      <c r="A224" s="4" t="s">
        <v>167</v>
      </c>
      <c r="B224" s="14" t="s">
        <v>464</v>
      </c>
      <c r="C224" s="117" t="s">
        <v>832</v>
      </c>
      <c r="D224" s="118"/>
      <c r="E224" s="118"/>
      <c r="F224" s="14" t="s">
        <v>1023</v>
      </c>
      <c r="G224" s="21">
        <v>0.18</v>
      </c>
      <c r="H224" s="21">
        <v>0</v>
      </c>
      <c r="I224" s="21">
        <f>G224*AN224</f>
        <v>0</v>
      </c>
      <c r="J224" s="21">
        <f>G224*AO224</f>
        <v>0</v>
      </c>
      <c r="K224" s="21">
        <f>G224*H224</f>
        <v>0</v>
      </c>
      <c r="L224" s="5"/>
      <c r="Y224" s="37">
        <f>IF(AP224="5",BI224,0)</f>
        <v>0</v>
      </c>
      <c r="AA224" s="37">
        <f>IF(AP224="1",BG224,0)</f>
        <v>0</v>
      </c>
      <c r="AB224" s="37">
        <f>IF(AP224="1",BH224,0)</f>
        <v>0</v>
      </c>
      <c r="AC224" s="37">
        <f>IF(AP224="7",BG224,0)</f>
        <v>0</v>
      </c>
      <c r="AD224" s="37">
        <f>IF(AP224="7",BH224,0)</f>
        <v>0</v>
      </c>
      <c r="AE224" s="37">
        <f>IF(AP224="2",BG224,0)</f>
        <v>0</v>
      </c>
      <c r="AF224" s="37">
        <f>IF(AP224="2",BH224,0)</f>
        <v>0</v>
      </c>
      <c r="AG224" s="37">
        <f>IF(AP224="0",BI224,0)</f>
        <v>0</v>
      </c>
      <c r="AH224" s="36"/>
      <c r="AI224" s="21">
        <f>IF(AM224=0,K224,0)</f>
        <v>0</v>
      </c>
      <c r="AJ224" s="21">
        <f>IF(AM224=15,K224,0)</f>
        <v>0</v>
      </c>
      <c r="AK224" s="21">
        <f>IF(AM224=21,K224,0)</f>
        <v>0</v>
      </c>
      <c r="AM224" s="37">
        <v>21</v>
      </c>
      <c r="AN224" s="37">
        <f>H224*0.0605454545454545</f>
        <v>0</v>
      </c>
      <c r="AO224" s="37">
        <f>H224*(1-0.0605454545454545)</f>
        <v>0</v>
      </c>
      <c r="AP224" s="38" t="s">
        <v>13</v>
      </c>
      <c r="AU224" s="37">
        <f>AV224+AW224</f>
        <v>0</v>
      </c>
      <c r="AV224" s="37">
        <f>G224*AN224</f>
        <v>0</v>
      </c>
      <c r="AW224" s="37">
        <f>G224*AO224</f>
        <v>0</v>
      </c>
      <c r="AX224" s="40" t="s">
        <v>1077</v>
      </c>
      <c r="AY224" s="40" t="s">
        <v>1117</v>
      </c>
      <c r="AZ224" s="36" t="s">
        <v>1122</v>
      </c>
      <c r="BB224" s="37">
        <f>AV224+AW224</f>
        <v>0</v>
      </c>
      <c r="BC224" s="37">
        <f>H224/(100-BD224)*100</f>
        <v>0</v>
      </c>
      <c r="BD224" s="37">
        <v>0</v>
      </c>
      <c r="BE224" s="37">
        <f>224</f>
        <v>224</v>
      </c>
      <c r="BG224" s="21">
        <f>G224*AN224</f>
        <v>0</v>
      </c>
      <c r="BH224" s="21">
        <f>G224*AO224</f>
        <v>0</v>
      </c>
      <c r="BI224" s="21">
        <f>G224*H224</f>
        <v>0</v>
      </c>
      <c r="BJ224" s="21" t="s">
        <v>1127</v>
      </c>
      <c r="BK224" s="37">
        <v>762</v>
      </c>
    </row>
    <row r="225" spans="1:63" x14ac:dyDescent="0.25">
      <c r="A225" s="6"/>
      <c r="B225" s="15" t="s">
        <v>465</v>
      </c>
      <c r="C225" s="121" t="s">
        <v>833</v>
      </c>
      <c r="D225" s="122"/>
      <c r="E225" s="122"/>
      <c r="F225" s="19" t="s">
        <v>6</v>
      </c>
      <c r="G225" s="19" t="s">
        <v>6</v>
      </c>
      <c r="H225" s="19" t="s">
        <v>6</v>
      </c>
      <c r="I225" s="43">
        <f>SUM(I226:I226)</f>
        <v>0</v>
      </c>
      <c r="J225" s="43">
        <f>SUM(J226:J226)</f>
        <v>0</v>
      </c>
      <c r="K225" s="43">
        <f>SUM(K226:K226)</f>
        <v>0</v>
      </c>
      <c r="L225" s="5"/>
      <c r="AH225" s="36"/>
      <c r="AR225" s="43">
        <f>SUM(AI226:AI226)</f>
        <v>0</v>
      </c>
      <c r="AS225" s="43">
        <f>SUM(AJ226:AJ226)</f>
        <v>0</v>
      </c>
      <c r="AT225" s="43">
        <f>SUM(AK226:AK226)</f>
        <v>0</v>
      </c>
    </row>
    <row r="226" spans="1:63" x14ac:dyDescent="0.25">
      <c r="A226" s="4" t="s">
        <v>168</v>
      </c>
      <c r="B226" s="14" t="s">
        <v>466</v>
      </c>
      <c r="C226" s="117" t="s">
        <v>834</v>
      </c>
      <c r="D226" s="118"/>
      <c r="E226" s="118"/>
      <c r="F226" s="14" t="s">
        <v>1024</v>
      </c>
      <c r="G226" s="21">
        <v>1</v>
      </c>
      <c r="H226" s="21">
        <v>0</v>
      </c>
      <c r="I226" s="21">
        <f>G226*AN226</f>
        <v>0</v>
      </c>
      <c r="J226" s="21">
        <f>G226*AO226</f>
        <v>0</v>
      </c>
      <c r="K226" s="21">
        <f>G226*H226</f>
        <v>0</v>
      </c>
      <c r="L226" s="5"/>
      <c r="Y226" s="37">
        <f>IF(AP226="5",BI226,0)</f>
        <v>0</v>
      </c>
      <c r="AA226" s="37">
        <f>IF(AP226="1",BG226,0)</f>
        <v>0</v>
      </c>
      <c r="AB226" s="37">
        <f>IF(AP226="1",BH226,0)</f>
        <v>0</v>
      </c>
      <c r="AC226" s="37">
        <f>IF(AP226="7",BG226,0)</f>
        <v>0</v>
      </c>
      <c r="AD226" s="37">
        <f>IF(AP226="7",BH226,0)</f>
        <v>0</v>
      </c>
      <c r="AE226" s="37">
        <f>IF(AP226="2",BG226,0)</f>
        <v>0</v>
      </c>
      <c r="AF226" s="37">
        <f>IF(AP226="2",BH226,0)</f>
        <v>0</v>
      </c>
      <c r="AG226" s="37">
        <f>IF(AP226="0",BI226,0)</f>
        <v>0</v>
      </c>
      <c r="AH226" s="36"/>
      <c r="AI226" s="21">
        <f>IF(AM226=0,K226,0)</f>
        <v>0</v>
      </c>
      <c r="AJ226" s="21">
        <f>IF(AM226=15,K226,0)</f>
        <v>0</v>
      </c>
      <c r="AK226" s="21">
        <f>IF(AM226=21,K226,0)</f>
        <v>0</v>
      </c>
      <c r="AM226" s="37">
        <v>21</v>
      </c>
      <c r="AN226" s="37">
        <f>H226*0.78137658674189</f>
        <v>0</v>
      </c>
      <c r="AO226" s="37">
        <f>H226*(1-0.78137658674189)</f>
        <v>0</v>
      </c>
      <c r="AP226" s="38" t="s">
        <v>13</v>
      </c>
      <c r="AU226" s="37">
        <f>AV226+AW226</f>
        <v>0</v>
      </c>
      <c r="AV226" s="37">
        <f>G226*AN226</f>
        <v>0</v>
      </c>
      <c r="AW226" s="37">
        <f>G226*AO226</f>
        <v>0</v>
      </c>
      <c r="AX226" s="40" t="s">
        <v>1078</v>
      </c>
      <c r="AY226" s="40" t="s">
        <v>1117</v>
      </c>
      <c r="AZ226" s="36" t="s">
        <v>1122</v>
      </c>
      <c r="BB226" s="37">
        <f>AV226+AW226</f>
        <v>0</v>
      </c>
      <c r="BC226" s="37">
        <f>H226/(100-BD226)*100</f>
        <v>0</v>
      </c>
      <c r="BD226" s="37">
        <v>0</v>
      </c>
      <c r="BE226" s="37">
        <f>226</f>
        <v>226</v>
      </c>
      <c r="BG226" s="21">
        <f>G226*AN226</f>
        <v>0</v>
      </c>
      <c r="BH226" s="21">
        <f>G226*AO226</f>
        <v>0</v>
      </c>
      <c r="BI226" s="21">
        <f>G226*H226</f>
        <v>0</v>
      </c>
      <c r="BJ226" s="21" t="s">
        <v>1127</v>
      </c>
      <c r="BK226" s="37">
        <v>764</v>
      </c>
    </row>
    <row r="227" spans="1:63" x14ac:dyDescent="0.25">
      <c r="A227" s="6"/>
      <c r="B227" s="15" t="s">
        <v>467</v>
      </c>
      <c r="C227" s="121" t="s">
        <v>835</v>
      </c>
      <c r="D227" s="122"/>
      <c r="E227" s="122"/>
      <c r="F227" s="19" t="s">
        <v>6</v>
      </c>
      <c r="G227" s="19" t="s">
        <v>6</v>
      </c>
      <c r="H227" s="19" t="s">
        <v>6</v>
      </c>
      <c r="I227" s="43">
        <f>SUM(I228:I251)</f>
        <v>0</v>
      </c>
      <c r="J227" s="43">
        <f>SUM(J228:J251)</f>
        <v>0</v>
      </c>
      <c r="K227" s="43">
        <f>SUM(K228:K251)</f>
        <v>0</v>
      </c>
      <c r="L227" s="5"/>
      <c r="AH227" s="36"/>
      <c r="AR227" s="43">
        <f>SUM(AI228:AI251)</f>
        <v>0</v>
      </c>
      <c r="AS227" s="43">
        <f>SUM(AJ228:AJ251)</f>
        <v>0</v>
      </c>
      <c r="AT227" s="43">
        <f>SUM(AK228:AK251)</f>
        <v>0</v>
      </c>
    </row>
    <row r="228" spans="1:63" x14ac:dyDescent="0.25">
      <c r="A228" s="4" t="s">
        <v>169</v>
      </c>
      <c r="B228" s="14" t="s">
        <v>468</v>
      </c>
      <c r="C228" s="117" t="s">
        <v>836</v>
      </c>
      <c r="D228" s="118"/>
      <c r="E228" s="118"/>
      <c r="F228" s="14" t="s">
        <v>1024</v>
      </c>
      <c r="G228" s="21">
        <v>1</v>
      </c>
      <c r="H228" s="21">
        <v>0</v>
      </c>
      <c r="I228" s="21">
        <f>G228*AN228</f>
        <v>0</v>
      </c>
      <c r="J228" s="21">
        <f>G228*AO228</f>
        <v>0</v>
      </c>
      <c r="K228" s="21">
        <f>G228*H228</f>
        <v>0</v>
      </c>
      <c r="L228" s="5"/>
      <c r="Y228" s="37">
        <f>IF(AP228="5",BI228,0)</f>
        <v>0</v>
      </c>
      <c r="AA228" s="37">
        <f>IF(AP228="1",BG228,0)</f>
        <v>0</v>
      </c>
      <c r="AB228" s="37">
        <f>IF(AP228="1",BH228,0)</f>
        <v>0</v>
      </c>
      <c r="AC228" s="37">
        <f>IF(AP228="7",BG228,0)</f>
        <v>0</v>
      </c>
      <c r="AD228" s="37">
        <f>IF(AP228="7",BH228,0)</f>
        <v>0</v>
      </c>
      <c r="AE228" s="37">
        <f>IF(AP228="2",BG228,0)</f>
        <v>0</v>
      </c>
      <c r="AF228" s="37">
        <f>IF(AP228="2",BH228,0)</f>
        <v>0</v>
      </c>
      <c r="AG228" s="37">
        <f>IF(AP228="0",BI228,0)</f>
        <v>0</v>
      </c>
      <c r="AH228" s="36"/>
      <c r="AI228" s="21">
        <f>IF(AM228=0,K228,0)</f>
        <v>0</v>
      </c>
      <c r="AJ228" s="21">
        <f>IF(AM228=15,K228,0)</f>
        <v>0</v>
      </c>
      <c r="AK228" s="21">
        <f>IF(AM228=21,K228,0)</f>
        <v>0</v>
      </c>
      <c r="AM228" s="37">
        <v>21</v>
      </c>
      <c r="AN228" s="37">
        <f>H228*0.905537459283388</f>
        <v>0</v>
      </c>
      <c r="AO228" s="37">
        <f>H228*(1-0.905537459283388)</f>
        <v>0</v>
      </c>
      <c r="AP228" s="38" t="s">
        <v>13</v>
      </c>
      <c r="AU228" s="37">
        <f>AV228+AW228</f>
        <v>0</v>
      </c>
      <c r="AV228" s="37">
        <f>G228*AN228</f>
        <v>0</v>
      </c>
      <c r="AW228" s="37">
        <f>G228*AO228</f>
        <v>0</v>
      </c>
      <c r="AX228" s="40" t="s">
        <v>1079</v>
      </c>
      <c r="AY228" s="40" t="s">
        <v>1117</v>
      </c>
      <c r="AZ228" s="36" t="s">
        <v>1122</v>
      </c>
      <c r="BB228" s="37">
        <f>AV228+AW228</f>
        <v>0</v>
      </c>
      <c r="BC228" s="37">
        <f>H228/(100-BD228)*100</f>
        <v>0</v>
      </c>
      <c r="BD228" s="37">
        <v>0</v>
      </c>
      <c r="BE228" s="37">
        <f>228</f>
        <v>228</v>
      </c>
      <c r="BG228" s="21">
        <f>G228*AN228</f>
        <v>0</v>
      </c>
      <c r="BH228" s="21">
        <f>G228*AO228</f>
        <v>0</v>
      </c>
      <c r="BI228" s="21">
        <f>G228*H228</f>
        <v>0</v>
      </c>
      <c r="BJ228" s="21" t="s">
        <v>1127</v>
      </c>
      <c r="BK228" s="37">
        <v>767</v>
      </c>
    </row>
    <row r="229" spans="1:63" x14ac:dyDescent="0.25">
      <c r="A229" s="4" t="s">
        <v>170</v>
      </c>
      <c r="B229" s="14" t="s">
        <v>469</v>
      </c>
      <c r="C229" s="117" t="s">
        <v>837</v>
      </c>
      <c r="D229" s="118"/>
      <c r="E229" s="118"/>
      <c r="F229" s="14" t="s">
        <v>1026</v>
      </c>
      <c r="G229" s="21">
        <v>28</v>
      </c>
      <c r="H229" s="21">
        <v>0</v>
      </c>
      <c r="I229" s="21">
        <f>G229*AN229</f>
        <v>0</v>
      </c>
      <c r="J229" s="21">
        <f>G229*AO229</f>
        <v>0</v>
      </c>
      <c r="K229" s="21">
        <f>G229*H229</f>
        <v>0</v>
      </c>
      <c r="L229" s="5"/>
      <c r="Y229" s="37">
        <f>IF(AP229="5",BI229,0)</f>
        <v>0</v>
      </c>
      <c r="AA229" s="37">
        <f>IF(AP229="1",BG229,0)</f>
        <v>0</v>
      </c>
      <c r="AB229" s="37">
        <f>IF(AP229="1",BH229,0)</f>
        <v>0</v>
      </c>
      <c r="AC229" s="37">
        <f>IF(AP229="7",BG229,0)</f>
        <v>0</v>
      </c>
      <c r="AD229" s="37">
        <f>IF(AP229="7",BH229,0)</f>
        <v>0</v>
      </c>
      <c r="AE229" s="37">
        <f>IF(AP229="2",BG229,0)</f>
        <v>0</v>
      </c>
      <c r="AF229" s="37">
        <f>IF(AP229="2",BH229,0)</f>
        <v>0</v>
      </c>
      <c r="AG229" s="37">
        <f>IF(AP229="0",BI229,0)</f>
        <v>0</v>
      </c>
      <c r="AH229" s="36"/>
      <c r="AI229" s="21">
        <f>IF(AM229=0,K229,0)</f>
        <v>0</v>
      </c>
      <c r="AJ229" s="21">
        <f>IF(AM229=15,K229,0)</f>
        <v>0</v>
      </c>
      <c r="AK229" s="21">
        <f>IF(AM229=21,K229,0)</f>
        <v>0</v>
      </c>
      <c r="AM229" s="37">
        <v>21</v>
      </c>
      <c r="AN229" s="37">
        <f>H229*0</f>
        <v>0</v>
      </c>
      <c r="AO229" s="37">
        <f>H229*(1-0)</f>
        <v>0</v>
      </c>
      <c r="AP229" s="38" t="s">
        <v>13</v>
      </c>
      <c r="AU229" s="37">
        <f>AV229+AW229</f>
        <v>0</v>
      </c>
      <c r="AV229" s="37">
        <f>G229*AN229</f>
        <v>0</v>
      </c>
      <c r="AW229" s="37">
        <f>G229*AO229</f>
        <v>0</v>
      </c>
      <c r="AX229" s="40" t="s">
        <v>1079</v>
      </c>
      <c r="AY229" s="40" t="s">
        <v>1117</v>
      </c>
      <c r="AZ229" s="36" t="s">
        <v>1122</v>
      </c>
      <c r="BB229" s="37">
        <f>AV229+AW229</f>
        <v>0</v>
      </c>
      <c r="BC229" s="37">
        <f>H229/(100-BD229)*100</f>
        <v>0</v>
      </c>
      <c r="BD229" s="37">
        <v>0</v>
      </c>
      <c r="BE229" s="37">
        <f>229</f>
        <v>229</v>
      </c>
      <c r="BG229" s="21">
        <f>G229*AN229</f>
        <v>0</v>
      </c>
      <c r="BH229" s="21">
        <f>G229*AO229</f>
        <v>0</v>
      </c>
      <c r="BI229" s="21">
        <f>G229*H229</f>
        <v>0</v>
      </c>
      <c r="BJ229" s="21" t="s">
        <v>1127</v>
      </c>
      <c r="BK229" s="37">
        <v>767</v>
      </c>
    </row>
    <row r="230" spans="1:63" x14ac:dyDescent="0.25">
      <c r="A230" s="5"/>
      <c r="C230" s="119" t="s">
        <v>838</v>
      </c>
      <c r="D230" s="120"/>
      <c r="E230" s="120"/>
      <c r="G230" s="22">
        <v>28</v>
      </c>
      <c r="L230" s="5"/>
    </row>
    <row r="231" spans="1:63" x14ac:dyDescent="0.25">
      <c r="A231" s="4" t="s">
        <v>171</v>
      </c>
      <c r="B231" s="14" t="s">
        <v>470</v>
      </c>
      <c r="C231" s="117" t="s">
        <v>839</v>
      </c>
      <c r="D231" s="118"/>
      <c r="E231" s="118"/>
      <c r="F231" s="14" t="s">
        <v>1026</v>
      </c>
      <c r="G231" s="21">
        <v>28</v>
      </c>
      <c r="H231" s="21">
        <v>0</v>
      </c>
      <c r="I231" s="21">
        <f>G231*AN231</f>
        <v>0</v>
      </c>
      <c r="J231" s="21">
        <f>G231*AO231</f>
        <v>0</v>
      </c>
      <c r="K231" s="21">
        <f>G231*H231</f>
        <v>0</v>
      </c>
      <c r="L231" s="5"/>
      <c r="Y231" s="37">
        <f>IF(AP231="5",BI231,0)</f>
        <v>0</v>
      </c>
      <c r="AA231" s="37">
        <f>IF(AP231="1",BG231,0)</f>
        <v>0</v>
      </c>
      <c r="AB231" s="37">
        <f>IF(AP231="1",BH231,0)</f>
        <v>0</v>
      </c>
      <c r="AC231" s="37">
        <f>IF(AP231="7",BG231,0)</f>
        <v>0</v>
      </c>
      <c r="AD231" s="37">
        <f>IF(AP231="7",BH231,0)</f>
        <v>0</v>
      </c>
      <c r="AE231" s="37">
        <f>IF(AP231="2",BG231,0)</f>
        <v>0</v>
      </c>
      <c r="AF231" s="37">
        <f>IF(AP231="2",BH231,0)</f>
        <v>0</v>
      </c>
      <c r="AG231" s="37">
        <f>IF(AP231="0",BI231,0)</f>
        <v>0</v>
      </c>
      <c r="AH231" s="36"/>
      <c r="AI231" s="21">
        <f>IF(AM231=0,K231,0)</f>
        <v>0</v>
      </c>
      <c r="AJ231" s="21">
        <f>IF(AM231=15,K231,0)</f>
        <v>0</v>
      </c>
      <c r="AK231" s="21">
        <f>IF(AM231=21,K231,0)</f>
        <v>0</v>
      </c>
      <c r="AM231" s="37">
        <v>21</v>
      </c>
      <c r="AN231" s="37">
        <f>H231*0</f>
        <v>0</v>
      </c>
      <c r="AO231" s="37">
        <f>H231*(1-0)</f>
        <v>0</v>
      </c>
      <c r="AP231" s="38" t="s">
        <v>13</v>
      </c>
      <c r="AU231" s="37">
        <f>AV231+AW231</f>
        <v>0</v>
      </c>
      <c r="AV231" s="37">
        <f>G231*AN231</f>
        <v>0</v>
      </c>
      <c r="AW231" s="37">
        <f>G231*AO231</f>
        <v>0</v>
      </c>
      <c r="AX231" s="40" t="s">
        <v>1079</v>
      </c>
      <c r="AY231" s="40" t="s">
        <v>1117</v>
      </c>
      <c r="AZ231" s="36" t="s">
        <v>1122</v>
      </c>
      <c r="BB231" s="37">
        <f>AV231+AW231</f>
        <v>0</v>
      </c>
      <c r="BC231" s="37">
        <f>H231/(100-BD231)*100</f>
        <v>0</v>
      </c>
      <c r="BD231" s="37">
        <v>0</v>
      </c>
      <c r="BE231" s="37">
        <f>231</f>
        <v>231</v>
      </c>
      <c r="BG231" s="21">
        <f>G231*AN231</f>
        <v>0</v>
      </c>
      <c r="BH231" s="21">
        <f>G231*AO231</f>
        <v>0</v>
      </c>
      <c r="BI231" s="21">
        <f>G231*H231</f>
        <v>0</v>
      </c>
      <c r="BJ231" s="21" t="s">
        <v>1127</v>
      </c>
      <c r="BK231" s="37">
        <v>767</v>
      </c>
    </row>
    <row r="232" spans="1:63" x14ac:dyDescent="0.25">
      <c r="A232" s="5"/>
      <c r="C232" s="119" t="s">
        <v>840</v>
      </c>
      <c r="D232" s="120"/>
      <c r="E232" s="120"/>
      <c r="G232" s="22">
        <v>28</v>
      </c>
      <c r="L232" s="5"/>
    </row>
    <row r="233" spans="1:63" x14ac:dyDescent="0.25">
      <c r="A233" s="4" t="s">
        <v>172</v>
      </c>
      <c r="B233" s="14" t="s">
        <v>471</v>
      </c>
      <c r="C233" s="117" t="s">
        <v>841</v>
      </c>
      <c r="D233" s="118"/>
      <c r="E233" s="118"/>
      <c r="F233" s="14" t="s">
        <v>1024</v>
      </c>
      <c r="G233" s="21">
        <v>1</v>
      </c>
      <c r="H233" s="21">
        <v>0</v>
      </c>
      <c r="I233" s="21">
        <f>G233*AN233</f>
        <v>0</v>
      </c>
      <c r="J233" s="21">
        <f>G233*AO233</f>
        <v>0</v>
      </c>
      <c r="K233" s="21">
        <f>G233*H233</f>
        <v>0</v>
      </c>
      <c r="L233" s="5"/>
      <c r="Y233" s="37">
        <f>IF(AP233="5",BI233,0)</f>
        <v>0</v>
      </c>
      <c r="AA233" s="37">
        <f>IF(AP233="1",BG233,0)</f>
        <v>0</v>
      </c>
      <c r="AB233" s="37">
        <f>IF(AP233="1",BH233,0)</f>
        <v>0</v>
      </c>
      <c r="AC233" s="37">
        <f>IF(AP233="7",BG233,0)</f>
        <v>0</v>
      </c>
      <c r="AD233" s="37">
        <f>IF(AP233="7",BH233,0)</f>
        <v>0</v>
      </c>
      <c r="AE233" s="37">
        <f>IF(AP233="2",BG233,0)</f>
        <v>0</v>
      </c>
      <c r="AF233" s="37">
        <f>IF(AP233="2",BH233,0)</f>
        <v>0</v>
      </c>
      <c r="AG233" s="37">
        <f>IF(AP233="0",BI233,0)</f>
        <v>0</v>
      </c>
      <c r="AH233" s="36"/>
      <c r="AI233" s="21">
        <f>IF(AM233=0,K233,0)</f>
        <v>0</v>
      </c>
      <c r="AJ233" s="21">
        <f>IF(AM233=15,K233,0)</f>
        <v>0</v>
      </c>
      <c r="AK233" s="21">
        <f>IF(AM233=21,K233,0)</f>
        <v>0</v>
      </c>
      <c r="AM233" s="37">
        <v>21</v>
      </c>
      <c r="AN233" s="37">
        <f>H233*0</f>
        <v>0</v>
      </c>
      <c r="AO233" s="37">
        <f>H233*(1-0)</f>
        <v>0</v>
      </c>
      <c r="AP233" s="38" t="s">
        <v>13</v>
      </c>
      <c r="AU233" s="37">
        <f>AV233+AW233</f>
        <v>0</v>
      </c>
      <c r="AV233" s="37">
        <f>G233*AN233</f>
        <v>0</v>
      </c>
      <c r="AW233" s="37">
        <f>G233*AO233</f>
        <v>0</v>
      </c>
      <c r="AX233" s="40" t="s">
        <v>1079</v>
      </c>
      <c r="AY233" s="40" t="s">
        <v>1117</v>
      </c>
      <c r="AZ233" s="36" t="s">
        <v>1122</v>
      </c>
      <c r="BB233" s="37">
        <f>AV233+AW233</f>
        <v>0</v>
      </c>
      <c r="BC233" s="37">
        <f>H233/(100-BD233)*100</f>
        <v>0</v>
      </c>
      <c r="BD233" s="37">
        <v>0</v>
      </c>
      <c r="BE233" s="37">
        <f>233</f>
        <v>233</v>
      </c>
      <c r="BG233" s="21">
        <f>G233*AN233</f>
        <v>0</v>
      </c>
      <c r="BH233" s="21">
        <f>G233*AO233</f>
        <v>0</v>
      </c>
      <c r="BI233" s="21">
        <f>G233*H233</f>
        <v>0</v>
      </c>
      <c r="BJ233" s="21" t="s">
        <v>1127</v>
      </c>
      <c r="BK233" s="37">
        <v>767</v>
      </c>
    </row>
    <row r="234" spans="1:63" x14ac:dyDescent="0.25">
      <c r="A234" s="7" t="s">
        <v>173</v>
      </c>
      <c r="B234" s="16" t="s">
        <v>472</v>
      </c>
      <c r="C234" s="123" t="s">
        <v>842</v>
      </c>
      <c r="D234" s="124"/>
      <c r="E234" s="124"/>
      <c r="F234" s="16" t="s">
        <v>1026</v>
      </c>
      <c r="G234" s="23">
        <v>28</v>
      </c>
      <c r="H234" s="23">
        <v>0</v>
      </c>
      <c r="I234" s="23">
        <f>G234*AN234</f>
        <v>0</v>
      </c>
      <c r="J234" s="23">
        <f>G234*AO234</f>
        <v>0</v>
      </c>
      <c r="K234" s="23">
        <f>G234*H234</f>
        <v>0</v>
      </c>
      <c r="L234" s="5"/>
      <c r="Y234" s="37">
        <f>IF(AP234="5",BI234,0)</f>
        <v>0</v>
      </c>
      <c r="AA234" s="37">
        <f>IF(AP234="1",BG234,0)</f>
        <v>0</v>
      </c>
      <c r="AB234" s="37">
        <f>IF(AP234="1",BH234,0)</f>
        <v>0</v>
      </c>
      <c r="AC234" s="37">
        <f>IF(AP234="7",BG234,0)</f>
        <v>0</v>
      </c>
      <c r="AD234" s="37">
        <f>IF(AP234="7",BH234,0)</f>
        <v>0</v>
      </c>
      <c r="AE234" s="37">
        <f>IF(AP234="2",BG234,0)</f>
        <v>0</v>
      </c>
      <c r="AF234" s="37">
        <f>IF(AP234="2",BH234,0)</f>
        <v>0</v>
      </c>
      <c r="AG234" s="37">
        <f>IF(AP234="0",BI234,0)</f>
        <v>0</v>
      </c>
      <c r="AH234" s="36"/>
      <c r="AI234" s="23">
        <f>IF(AM234=0,K234,0)</f>
        <v>0</v>
      </c>
      <c r="AJ234" s="23">
        <f>IF(AM234=15,K234,0)</f>
        <v>0</v>
      </c>
      <c r="AK234" s="23">
        <f>IF(AM234=21,K234,0)</f>
        <v>0</v>
      </c>
      <c r="AM234" s="37">
        <v>21</v>
      </c>
      <c r="AN234" s="37">
        <f>H234*1</f>
        <v>0</v>
      </c>
      <c r="AO234" s="37">
        <f>H234*(1-1)</f>
        <v>0</v>
      </c>
      <c r="AP234" s="39" t="s">
        <v>13</v>
      </c>
      <c r="AU234" s="37">
        <f>AV234+AW234</f>
        <v>0</v>
      </c>
      <c r="AV234" s="37">
        <f>G234*AN234</f>
        <v>0</v>
      </c>
      <c r="AW234" s="37">
        <f>G234*AO234</f>
        <v>0</v>
      </c>
      <c r="AX234" s="40" t="s">
        <v>1079</v>
      </c>
      <c r="AY234" s="40" t="s">
        <v>1117</v>
      </c>
      <c r="AZ234" s="36" t="s">
        <v>1122</v>
      </c>
      <c r="BB234" s="37">
        <f>AV234+AW234</f>
        <v>0</v>
      </c>
      <c r="BC234" s="37">
        <f>H234/(100-BD234)*100</f>
        <v>0</v>
      </c>
      <c r="BD234" s="37">
        <v>0</v>
      </c>
      <c r="BE234" s="37">
        <f>234</f>
        <v>234</v>
      </c>
      <c r="BG234" s="23">
        <f>G234*AN234</f>
        <v>0</v>
      </c>
      <c r="BH234" s="23">
        <f>G234*AO234</f>
        <v>0</v>
      </c>
      <c r="BI234" s="23">
        <f>G234*H234</f>
        <v>0</v>
      </c>
      <c r="BJ234" s="23" t="s">
        <v>1128</v>
      </c>
      <c r="BK234" s="37">
        <v>767</v>
      </c>
    </row>
    <row r="235" spans="1:63" x14ac:dyDescent="0.25">
      <c r="A235" s="5"/>
      <c r="C235" s="119" t="s">
        <v>843</v>
      </c>
      <c r="D235" s="120"/>
      <c r="E235" s="120"/>
      <c r="G235" s="22">
        <v>28</v>
      </c>
      <c r="L235" s="5"/>
    </row>
    <row r="236" spans="1:63" x14ac:dyDescent="0.25">
      <c r="A236" s="5"/>
      <c r="C236" s="119" t="s">
        <v>844</v>
      </c>
      <c r="D236" s="120"/>
      <c r="E236" s="120"/>
      <c r="G236" s="22">
        <v>0</v>
      </c>
      <c r="L236" s="5"/>
    </row>
    <row r="237" spans="1:63" x14ac:dyDescent="0.25">
      <c r="A237" s="5"/>
      <c r="C237" s="119" t="s">
        <v>845</v>
      </c>
      <c r="D237" s="120"/>
      <c r="E237" s="120"/>
      <c r="G237" s="22">
        <v>0</v>
      </c>
      <c r="L237" s="5"/>
    </row>
    <row r="238" spans="1:63" x14ac:dyDescent="0.25">
      <c r="A238" s="7" t="s">
        <v>174</v>
      </c>
      <c r="B238" s="16" t="s">
        <v>473</v>
      </c>
      <c r="C238" s="123" t="s">
        <v>846</v>
      </c>
      <c r="D238" s="124"/>
      <c r="E238" s="124"/>
      <c r="F238" s="16" t="s">
        <v>1026</v>
      </c>
      <c r="G238" s="23">
        <v>28</v>
      </c>
      <c r="H238" s="23">
        <v>0</v>
      </c>
      <c r="I238" s="23">
        <f>G238*AN238</f>
        <v>0</v>
      </c>
      <c r="J238" s="23">
        <f>G238*AO238</f>
        <v>0</v>
      </c>
      <c r="K238" s="23">
        <f>G238*H238</f>
        <v>0</v>
      </c>
      <c r="L238" s="5"/>
      <c r="Y238" s="37">
        <f>IF(AP238="5",BI238,0)</f>
        <v>0</v>
      </c>
      <c r="AA238" s="37">
        <f>IF(AP238="1",BG238,0)</f>
        <v>0</v>
      </c>
      <c r="AB238" s="37">
        <f>IF(AP238="1",BH238,0)</f>
        <v>0</v>
      </c>
      <c r="AC238" s="37">
        <f>IF(AP238="7",BG238,0)</f>
        <v>0</v>
      </c>
      <c r="AD238" s="37">
        <f>IF(AP238="7",BH238,0)</f>
        <v>0</v>
      </c>
      <c r="AE238" s="37">
        <f>IF(AP238="2",BG238,0)</f>
        <v>0</v>
      </c>
      <c r="AF238" s="37">
        <f>IF(AP238="2",BH238,0)</f>
        <v>0</v>
      </c>
      <c r="AG238" s="37">
        <f>IF(AP238="0",BI238,0)</f>
        <v>0</v>
      </c>
      <c r="AH238" s="36"/>
      <c r="AI238" s="23">
        <f>IF(AM238=0,K238,0)</f>
        <v>0</v>
      </c>
      <c r="AJ238" s="23">
        <f>IF(AM238=15,K238,0)</f>
        <v>0</v>
      </c>
      <c r="AK238" s="23">
        <f>IF(AM238=21,K238,0)</f>
        <v>0</v>
      </c>
      <c r="AM238" s="37">
        <v>21</v>
      </c>
      <c r="AN238" s="37">
        <f>H238*1</f>
        <v>0</v>
      </c>
      <c r="AO238" s="37">
        <f>H238*(1-1)</f>
        <v>0</v>
      </c>
      <c r="AP238" s="39" t="s">
        <v>13</v>
      </c>
      <c r="AU238" s="37">
        <f>AV238+AW238</f>
        <v>0</v>
      </c>
      <c r="AV238" s="37">
        <f>G238*AN238</f>
        <v>0</v>
      </c>
      <c r="AW238" s="37">
        <f>G238*AO238</f>
        <v>0</v>
      </c>
      <c r="AX238" s="40" t="s">
        <v>1079</v>
      </c>
      <c r="AY238" s="40" t="s">
        <v>1117</v>
      </c>
      <c r="AZ238" s="36" t="s">
        <v>1122</v>
      </c>
      <c r="BB238" s="37">
        <f>AV238+AW238</f>
        <v>0</v>
      </c>
      <c r="BC238" s="37">
        <f>H238/(100-BD238)*100</f>
        <v>0</v>
      </c>
      <c r="BD238" s="37">
        <v>0</v>
      </c>
      <c r="BE238" s="37">
        <f>238</f>
        <v>238</v>
      </c>
      <c r="BG238" s="23">
        <f>G238*AN238</f>
        <v>0</v>
      </c>
      <c r="BH238" s="23">
        <f>G238*AO238</f>
        <v>0</v>
      </c>
      <c r="BI238" s="23">
        <f>G238*H238</f>
        <v>0</v>
      </c>
      <c r="BJ238" s="23" t="s">
        <v>1128</v>
      </c>
      <c r="BK238" s="37">
        <v>767</v>
      </c>
    </row>
    <row r="239" spans="1:63" x14ac:dyDescent="0.25">
      <c r="A239" s="5"/>
      <c r="C239" s="119" t="s">
        <v>847</v>
      </c>
      <c r="D239" s="120"/>
      <c r="E239" s="120"/>
      <c r="G239" s="22">
        <v>28</v>
      </c>
      <c r="L239" s="5"/>
    </row>
    <row r="240" spans="1:63" x14ac:dyDescent="0.25">
      <c r="A240" s="7" t="s">
        <v>175</v>
      </c>
      <c r="B240" s="16" t="s">
        <v>474</v>
      </c>
      <c r="C240" s="123" t="s">
        <v>848</v>
      </c>
      <c r="D240" s="124"/>
      <c r="E240" s="124"/>
      <c r="F240" s="16" t="s">
        <v>1024</v>
      </c>
      <c r="G240" s="23">
        <v>6</v>
      </c>
      <c r="H240" s="23">
        <v>0</v>
      </c>
      <c r="I240" s="23">
        <f>G240*AN240</f>
        <v>0</v>
      </c>
      <c r="J240" s="23">
        <f>G240*AO240</f>
        <v>0</v>
      </c>
      <c r="K240" s="23">
        <f>G240*H240</f>
        <v>0</v>
      </c>
      <c r="L240" s="5"/>
      <c r="Y240" s="37">
        <f>IF(AP240="5",BI240,0)</f>
        <v>0</v>
      </c>
      <c r="AA240" s="37">
        <f>IF(AP240="1",BG240,0)</f>
        <v>0</v>
      </c>
      <c r="AB240" s="37">
        <f>IF(AP240="1",BH240,0)</f>
        <v>0</v>
      </c>
      <c r="AC240" s="37">
        <f>IF(AP240="7",BG240,0)</f>
        <v>0</v>
      </c>
      <c r="AD240" s="37">
        <f>IF(AP240="7",BH240,0)</f>
        <v>0</v>
      </c>
      <c r="AE240" s="37">
        <f>IF(AP240="2",BG240,0)</f>
        <v>0</v>
      </c>
      <c r="AF240" s="37">
        <f>IF(AP240="2",BH240,0)</f>
        <v>0</v>
      </c>
      <c r="AG240" s="37">
        <f>IF(AP240="0",BI240,0)</f>
        <v>0</v>
      </c>
      <c r="AH240" s="36"/>
      <c r="AI240" s="23">
        <f>IF(AM240=0,K240,0)</f>
        <v>0</v>
      </c>
      <c r="AJ240" s="23">
        <f>IF(AM240=15,K240,0)</f>
        <v>0</v>
      </c>
      <c r="AK240" s="23">
        <f>IF(AM240=21,K240,0)</f>
        <v>0</v>
      </c>
      <c r="AM240" s="37">
        <v>21</v>
      </c>
      <c r="AN240" s="37">
        <f>H240*1</f>
        <v>0</v>
      </c>
      <c r="AO240" s="37">
        <f>H240*(1-1)</f>
        <v>0</v>
      </c>
      <c r="AP240" s="39" t="s">
        <v>13</v>
      </c>
      <c r="AU240" s="37">
        <f>AV240+AW240</f>
        <v>0</v>
      </c>
      <c r="AV240" s="37">
        <f>G240*AN240</f>
        <v>0</v>
      </c>
      <c r="AW240" s="37">
        <f>G240*AO240</f>
        <v>0</v>
      </c>
      <c r="AX240" s="40" t="s">
        <v>1079</v>
      </c>
      <c r="AY240" s="40" t="s">
        <v>1117</v>
      </c>
      <c r="AZ240" s="36" t="s">
        <v>1122</v>
      </c>
      <c r="BB240" s="37">
        <f>AV240+AW240</f>
        <v>0</v>
      </c>
      <c r="BC240" s="37">
        <f>H240/(100-BD240)*100</f>
        <v>0</v>
      </c>
      <c r="BD240" s="37">
        <v>0</v>
      </c>
      <c r="BE240" s="37">
        <f>240</f>
        <v>240</v>
      </c>
      <c r="BG240" s="23">
        <f>G240*AN240</f>
        <v>0</v>
      </c>
      <c r="BH240" s="23">
        <f>G240*AO240</f>
        <v>0</v>
      </c>
      <c r="BI240" s="23">
        <f>G240*H240</f>
        <v>0</v>
      </c>
      <c r="BJ240" s="23" t="s">
        <v>1128</v>
      </c>
      <c r="BK240" s="37">
        <v>767</v>
      </c>
    </row>
    <row r="241" spans="1:63" x14ac:dyDescent="0.25">
      <c r="A241" s="5"/>
      <c r="C241" s="119" t="s">
        <v>849</v>
      </c>
      <c r="D241" s="120"/>
      <c r="E241" s="120"/>
      <c r="G241" s="22">
        <v>6</v>
      </c>
      <c r="L241" s="5"/>
    </row>
    <row r="242" spans="1:63" x14ac:dyDescent="0.25">
      <c r="A242" s="7" t="s">
        <v>176</v>
      </c>
      <c r="B242" s="16" t="s">
        <v>475</v>
      </c>
      <c r="C242" s="123" t="s">
        <v>850</v>
      </c>
      <c r="D242" s="124"/>
      <c r="E242" s="124"/>
      <c r="F242" s="16" t="s">
        <v>1024</v>
      </c>
      <c r="G242" s="23">
        <v>1</v>
      </c>
      <c r="H242" s="23">
        <v>0</v>
      </c>
      <c r="I242" s="23">
        <f>G242*AN242</f>
        <v>0</v>
      </c>
      <c r="J242" s="23">
        <f>G242*AO242</f>
        <v>0</v>
      </c>
      <c r="K242" s="23">
        <f>G242*H242</f>
        <v>0</v>
      </c>
      <c r="L242" s="5"/>
      <c r="Y242" s="37">
        <f>IF(AP242="5",BI242,0)</f>
        <v>0</v>
      </c>
      <c r="AA242" s="37">
        <f>IF(AP242="1",BG242,0)</f>
        <v>0</v>
      </c>
      <c r="AB242" s="37">
        <f>IF(AP242="1",BH242,0)</f>
        <v>0</v>
      </c>
      <c r="AC242" s="37">
        <f>IF(AP242="7",BG242,0)</f>
        <v>0</v>
      </c>
      <c r="AD242" s="37">
        <f>IF(AP242="7",BH242,0)</f>
        <v>0</v>
      </c>
      <c r="AE242" s="37">
        <f>IF(AP242="2",BG242,0)</f>
        <v>0</v>
      </c>
      <c r="AF242" s="37">
        <f>IF(AP242="2",BH242,0)</f>
        <v>0</v>
      </c>
      <c r="AG242" s="37">
        <f>IF(AP242="0",BI242,0)</f>
        <v>0</v>
      </c>
      <c r="AH242" s="36"/>
      <c r="AI242" s="23">
        <f>IF(AM242=0,K242,0)</f>
        <v>0</v>
      </c>
      <c r="AJ242" s="23">
        <f>IF(AM242=15,K242,0)</f>
        <v>0</v>
      </c>
      <c r="AK242" s="23">
        <f>IF(AM242=21,K242,0)</f>
        <v>0</v>
      </c>
      <c r="AM242" s="37">
        <v>21</v>
      </c>
      <c r="AN242" s="37">
        <f>H242*1</f>
        <v>0</v>
      </c>
      <c r="AO242" s="37">
        <f>H242*(1-1)</f>
        <v>0</v>
      </c>
      <c r="AP242" s="39" t="s">
        <v>13</v>
      </c>
      <c r="AU242" s="37">
        <f>AV242+AW242</f>
        <v>0</v>
      </c>
      <c r="AV242" s="37">
        <f>G242*AN242</f>
        <v>0</v>
      </c>
      <c r="AW242" s="37">
        <f>G242*AO242</f>
        <v>0</v>
      </c>
      <c r="AX242" s="40" t="s">
        <v>1079</v>
      </c>
      <c r="AY242" s="40" t="s">
        <v>1117</v>
      </c>
      <c r="AZ242" s="36" t="s">
        <v>1122</v>
      </c>
      <c r="BB242" s="37">
        <f>AV242+AW242</f>
        <v>0</v>
      </c>
      <c r="BC242" s="37">
        <f>H242/(100-BD242)*100</f>
        <v>0</v>
      </c>
      <c r="BD242" s="37">
        <v>0</v>
      </c>
      <c r="BE242" s="37">
        <f>242</f>
        <v>242</v>
      </c>
      <c r="BG242" s="23">
        <f>G242*AN242</f>
        <v>0</v>
      </c>
      <c r="BH242" s="23">
        <f>G242*AO242</f>
        <v>0</v>
      </c>
      <c r="BI242" s="23">
        <f>G242*H242</f>
        <v>0</v>
      </c>
      <c r="BJ242" s="23" t="s">
        <v>1128</v>
      </c>
      <c r="BK242" s="37">
        <v>767</v>
      </c>
    </row>
    <row r="243" spans="1:63" x14ac:dyDescent="0.25">
      <c r="A243" s="5"/>
      <c r="C243" s="119" t="s">
        <v>851</v>
      </c>
      <c r="D243" s="120"/>
      <c r="E243" s="120"/>
      <c r="G243" s="22">
        <v>1</v>
      </c>
      <c r="L243" s="5"/>
    </row>
    <row r="244" spans="1:63" x14ac:dyDescent="0.25">
      <c r="A244" s="5"/>
      <c r="C244" s="119" t="s">
        <v>852</v>
      </c>
      <c r="D244" s="120"/>
      <c r="E244" s="120"/>
      <c r="G244" s="22">
        <v>0</v>
      </c>
      <c r="L244" s="5"/>
    </row>
    <row r="245" spans="1:63" x14ac:dyDescent="0.25">
      <c r="A245" s="5"/>
      <c r="C245" s="119" t="s">
        <v>853</v>
      </c>
      <c r="D245" s="120"/>
      <c r="E245" s="120"/>
      <c r="G245" s="22">
        <v>0</v>
      </c>
      <c r="L245" s="5"/>
    </row>
    <row r="246" spans="1:63" x14ac:dyDescent="0.25">
      <c r="A246" s="5"/>
      <c r="C246" s="119" t="s">
        <v>854</v>
      </c>
      <c r="D246" s="120"/>
      <c r="E246" s="120"/>
      <c r="G246" s="22">
        <v>0</v>
      </c>
      <c r="L246" s="5"/>
    </row>
    <row r="247" spans="1:63" x14ac:dyDescent="0.25">
      <c r="A247" s="4" t="s">
        <v>177</v>
      </c>
      <c r="B247" s="14" t="s">
        <v>476</v>
      </c>
      <c r="C247" s="117" t="s">
        <v>855</v>
      </c>
      <c r="D247" s="118"/>
      <c r="E247" s="118"/>
      <c r="F247" s="14" t="s">
        <v>1024</v>
      </c>
      <c r="G247" s="21">
        <v>10</v>
      </c>
      <c r="H247" s="21">
        <v>0</v>
      </c>
      <c r="I247" s="21">
        <f>G247*AN247</f>
        <v>0</v>
      </c>
      <c r="J247" s="21">
        <f>G247*AO247</f>
        <v>0</v>
      </c>
      <c r="K247" s="21">
        <f>G247*H247</f>
        <v>0</v>
      </c>
      <c r="L247" s="5"/>
      <c r="Y247" s="37">
        <f>IF(AP247="5",BI247,0)</f>
        <v>0</v>
      </c>
      <c r="AA247" s="37">
        <f>IF(AP247="1",BG247,0)</f>
        <v>0</v>
      </c>
      <c r="AB247" s="37">
        <f>IF(AP247="1",BH247,0)</f>
        <v>0</v>
      </c>
      <c r="AC247" s="37">
        <f>IF(AP247="7",BG247,0)</f>
        <v>0</v>
      </c>
      <c r="AD247" s="37">
        <f>IF(AP247="7",BH247,0)</f>
        <v>0</v>
      </c>
      <c r="AE247" s="37">
        <f>IF(AP247="2",BG247,0)</f>
        <v>0</v>
      </c>
      <c r="AF247" s="37">
        <f>IF(AP247="2",BH247,0)</f>
        <v>0</v>
      </c>
      <c r="AG247" s="37">
        <f>IF(AP247="0",BI247,0)</f>
        <v>0</v>
      </c>
      <c r="AH247" s="36"/>
      <c r="AI247" s="21">
        <f>IF(AM247=0,K247,0)</f>
        <v>0</v>
      </c>
      <c r="AJ247" s="21">
        <f>IF(AM247=15,K247,0)</f>
        <v>0</v>
      </c>
      <c r="AK247" s="21">
        <f>IF(AM247=21,K247,0)</f>
        <v>0</v>
      </c>
      <c r="AM247" s="37">
        <v>21</v>
      </c>
      <c r="AN247" s="37">
        <f>H247*0</f>
        <v>0</v>
      </c>
      <c r="AO247" s="37">
        <f>H247*(1-0)</f>
        <v>0</v>
      </c>
      <c r="AP247" s="38" t="s">
        <v>13</v>
      </c>
      <c r="AU247" s="37">
        <f>AV247+AW247</f>
        <v>0</v>
      </c>
      <c r="AV247" s="37">
        <f>G247*AN247</f>
        <v>0</v>
      </c>
      <c r="AW247" s="37">
        <f>G247*AO247</f>
        <v>0</v>
      </c>
      <c r="AX247" s="40" t="s">
        <v>1079</v>
      </c>
      <c r="AY247" s="40" t="s">
        <v>1117</v>
      </c>
      <c r="AZ247" s="36" t="s">
        <v>1122</v>
      </c>
      <c r="BB247" s="37">
        <f>AV247+AW247</f>
        <v>0</v>
      </c>
      <c r="BC247" s="37">
        <f>H247/(100-BD247)*100</f>
        <v>0</v>
      </c>
      <c r="BD247" s="37">
        <v>0</v>
      </c>
      <c r="BE247" s="37">
        <f>247</f>
        <v>247</v>
      </c>
      <c r="BG247" s="21">
        <f>G247*AN247</f>
        <v>0</v>
      </c>
      <c r="BH247" s="21">
        <f>G247*AO247</f>
        <v>0</v>
      </c>
      <c r="BI247" s="21">
        <f>G247*H247</f>
        <v>0</v>
      </c>
      <c r="BJ247" s="21" t="s">
        <v>1127</v>
      </c>
      <c r="BK247" s="37">
        <v>767</v>
      </c>
    </row>
    <row r="248" spans="1:63" x14ac:dyDescent="0.25">
      <c r="A248" s="7" t="s">
        <v>178</v>
      </c>
      <c r="B248" s="16" t="s">
        <v>477</v>
      </c>
      <c r="C248" s="123" t="s">
        <v>856</v>
      </c>
      <c r="D248" s="124"/>
      <c r="E248" s="124"/>
      <c r="F248" s="16" t="s">
        <v>1024</v>
      </c>
      <c r="G248" s="23">
        <v>10</v>
      </c>
      <c r="H248" s="23">
        <v>0</v>
      </c>
      <c r="I248" s="23">
        <f>G248*AN248</f>
        <v>0</v>
      </c>
      <c r="J248" s="23">
        <f>G248*AO248</f>
        <v>0</v>
      </c>
      <c r="K248" s="23">
        <f>G248*H248</f>
        <v>0</v>
      </c>
      <c r="L248" s="5"/>
      <c r="Y248" s="37">
        <f>IF(AP248="5",BI248,0)</f>
        <v>0</v>
      </c>
      <c r="AA248" s="37">
        <f>IF(AP248="1",BG248,0)</f>
        <v>0</v>
      </c>
      <c r="AB248" s="37">
        <f>IF(AP248="1",BH248,0)</f>
        <v>0</v>
      </c>
      <c r="AC248" s="37">
        <f>IF(AP248="7",BG248,0)</f>
        <v>0</v>
      </c>
      <c r="AD248" s="37">
        <f>IF(AP248="7",BH248,0)</f>
        <v>0</v>
      </c>
      <c r="AE248" s="37">
        <f>IF(AP248="2",BG248,0)</f>
        <v>0</v>
      </c>
      <c r="AF248" s="37">
        <f>IF(AP248="2",BH248,0)</f>
        <v>0</v>
      </c>
      <c r="AG248" s="37">
        <f>IF(AP248="0",BI248,0)</f>
        <v>0</v>
      </c>
      <c r="AH248" s="36"/>
      <c r="AI248" s="23">
        <f>IF(AM248=0,K248,0)</f>
        <v>0</v>
      </c>
      <c r="AJ248" s="23">
        <f>IF(AM248=15,K248,0)</f>
        <v>0</v>
      </c>
      <c r="AK248" s="23">
        <f>IF(AM248=21,K248,0)</f>
        <v>0</v>
      </c>
      <c r="AM248" s="37">
        <v>21</v>
      </c>
      <c r="AN248" s="37">
        <f>H248*1</f>
        <v>0</v>
      </c>
      <c r="AO248" s="37">
        <f>H248*(1-1)</f>
        <v>0</v>
      </c>
      <c r="AP248" s="39" t="s">
        <v>13</v>
      </c>
      <c r="AU248" s="37">
        <f>AV248+AW248</f>
        <v>0</v>
      </c>
      <c r="AV248" s="37">
        <f>G248*AN248</f>
        <v>0</v>
      </c>
      <c r="AW248" s="37">
        <f>G248*AO248</f>
        <v>0</v>
      </c>
      <c r="AX248" s="40" t="s">
        <v>1079</v>
      </c>
      <c r="AY248" s="40" t="s">
        <v>1117</v>
      </c>
      <c r="AZ248" s="36" t="s">
        <v>1122</v>
      </c>
      <c r="BB248" s="37">
        <f>AV248+AW248</f>
        <v>0</v>
      </c>
      <c r="BC248" s="37">
        <f>H248/(100-BD248)*100</f>
        <v>0</v>
      </c>
      <c r="BD248" s="37">
        <v>0</v>
      </c>
      <c r="BE248" s="37">
        <f>248</f>
        <v>248</v>
      </c>
      <c r="BG248" s="23">
        <f>G248*AN248</f>
        <v>0</v>
      </c>
      <c r="BH248" s="23">
        <f>G248*AO248</f>
        <v>0</v>
      </c>
      <c r="BI248" s="23">
        <f>G248*H248</f>
        <v>0</v>
      </c>
      <c r="BJ248" s="23" t="s">
        <v>1128</v>
      </c>
      <c r="BK248" s="37">
        <v>767</v>
      </c>
    </row>
    <row r="249" spans="1:63" x14ac:dyDescent="0.25">
      <c r="A249" s="4" t="s">
        <v>179</v>
      </c>
      <c r="B249" s="14" t="s">
        <v>478</v>
      </c>
      <c r="C249" s="117" t="s">
        <v>857</v>
      </c>
      <c r="D249" s="118"/>
      <c r="E249" s="118"/>
      <c r="F249" s="14" t="s">
        <v>1026</v>
      </c>
      <c r="G249" s="21">
        <v>8</v>
      </c>
      <c r="H249" s="21">
        <v>0</v>
      </c>
      <c r="I249" s="21">
        <f>G249*AN249</f>
        <v>0</v>
      </c>
      <c r="J249" s="21">
        <f>G249*AO249</f>
        <v>0</v>
      </c>
      <c r="K249" s="21">
        <f>G249*H249</f>
        <v>0</v>
      </c>
      <c r="L249" s="5"/>
      <c r="Y249" s="37">
        <f>IF(AP249="5",BI249,0)</f>
        <v>0</v>
      </c>
      <c r="AA249" s="37">
        <f>IF(AP249="1",BG249,0)</f>
        <v>0</v>
      </c>
      <c r="AB249" s="37">
        <f>IF(AP249="1",BH249,0)</f>
        <v>0</v>
      </c>
      <c r="AC249" s="37">
        <f>IF(AP249="7",BG249,0)</f>
        <v>0</v>
      </c>
      <c r="AD249" s="37">
        <f>IF(AP249="7",BH249,0)</f>
        <v>0</v>
      </c>
      <c r="AE249" s="37">
        <f>IF(AP249="2",BG249,0)</f>
        <v>0</v>
      </c>
      <c r="AF249" s="37">
        <f>IF(AP249="2",BH249,0)</f>
        <v>0</v>
      </c>
      <c r="AG249" s="37">
        <f>IF(AP249="0",BI249,0)</f>
        <v>0</v>
      </c>
      <c r="AH249" s="36"/>
      <c r="AI249" s="21">
        <f>IF(AM249=0,K249,0)</f>
        <v>0</v>
      </c>
      <c r="AJ249" s="21">
        <f>IF(AM249=15,K249,0)</f>
        <v>0</v>
      </c>
      <c r="AK249" s="21">
        <f>IF(AM249=21,K249,0)</f>
        <v>0</v>
      </c>
      <c r="AM249" s="37">
        <v>21</v>
      </c>
      <c r="AN249" s="37">
        <f>H249*0</f>
        <v>0</v>
      </c>
      <c r="AO249" s="37">
        <f>H249*(1-0)</f>
        <v>0</v>
      </c>
      <c r="AP249" s="38" t="s">
        <v>13</v>
      </c>
      <c r="AU249" s="37">
        <f>AV249+AW249</f>
        <v>0</v>
      </c>
      <c r="AV249" s="37">
        <f>G249*AN249</f>
        <v>0</v>
      </c>
      <c r="AW249" s="37">
        <f>G249*AO249</f>
        <v>0</v>
      </c>
      <c r="AX249" s="40" t="s">
        <v>1079</v>
      </c>
      <c r="AY249" s="40" t="s">
        <v>1117</v>
      </c>
      <c r="AZ249" s="36" t="s">
        <v>1122</v>
      </c>
      <c r="BB249" s="37">
        <f>AV249+AW249</f>
        <v>0</v>
      </c>
      <c r="BC249" s="37">
        <f>H249/(100-BD249)*100</f>
        <v>0</v>
      </c>
      <c r="BD249" s="37">
        <v>0</v>
      </c>
      <c r="BE249" s="37">
        <f>249</f>
        <v>249</v>
      </c>
      <c r="BG249" s="21">
        <f>G249*AN249</f>
        <v>0</v>
      </c>
      <c r="BH249" s="21">
        <f>G249*AO249</f>
        <v>0</v>
      </c>
      <c r="BI249" s="21">
        <f>G249*H249</f>
        <v>0</v>
      </c>
      <c r="BJ249" s="21" t="s">
        <v>1127</v>
      </c>
      <c r="BK249" s="37">
        <v>767</v>
      </c>
    </row>
    <row r="250" spans="1:63" x14ac:dyDescent="0.25">
      <c r="A250" s="4" t="s">
        <v>180</v>
      </c>
      <c r="B250" s="14" t="s">
        <v>471</v>
      </c>
      <c r="C250" s="117" t="s">
        <v>858</v>
      </c>
      <c r="D250" s="118"/>
      <c r="E250" s="118"/>
      <c r="F250" s="14" t="s">
        <v>1024</v>
      </c>
      <c r="G250" s="21">
        <v>1</v>
      </c>
      <c r="H250" s="21">
        <v>0</v>
      </c>
      <c r="I250" s="21">
        <f>G250*AN250</f>
        <v>0</v>
      </c>
      <c r="J250" s="21">
        <f>G250*AO250</f>
        <v>0</v>
      </c>
      <c r="K250" s="21">
        <f>G250*H250</f>
        <v>0</v>
      </c>
      <c r="L250" s="5"/>
      <c r="Y250" s="37">
        <f>IF(AP250="5",BI250,0)</f>
        <v>0</v>
      </c>
      <c r="AA250" s="37">
        <f>IF(AP250="1",BG250,0)</f>
        <v>0</v>
      </c>
      <c r="AB250" s="37">
        <f>IF(AP250="1",BH250,0)</f>
        <v>0</v>
      </c>
      <c r="AC250" s="37">
        <f>IF(AP250="7",BG250,0)</f>
        <v>0</v>
      </c>
      <c r="AD250" s="37">
        <f>IF(AP250="7",BH250,0)</f>
        <v>0</v>
      </c>
      <c r="AE250" s="37">
        <f>IF(AP250="2",BG250,0)</f>
        <v>0</v>
      </c>
      <c r="AF250" s="37">
        <f>IF(AP250="2",BH250,0)</f>
        <v>0</v>
      </c>
      <c r="AG250" s="37">
        <f>IF(AP250="0",BI250,0)</f>
        <v>0</v>
      </c>
      <c r="AH250" s="36"/>
      <c r="AI250" s="21">
        <f>IF(AM250=0,K250,0)</f>
        <v>0</v>
      </c>
      <c r="AJ250" s="21">
        <f>IF(AM250=15,K250,0)</f>
        <v>0</v>
      </c>
      <c r="AK250" s="21">
        <f>IF(AM250=21,K250,0)</f>
        <v>0</v>
      </c>
      <c r="AM250" s="37">
        <v>21</v>
      </c>
      <c r="AN250" s="37">
        <f>H250*0.15527950310559</f>
        <v>0</v>
      </c>
      <c r="AO250" s="37">
        <f>H250*(1-0.15527950310559)</f>
        <v>0</v>
      </c>
      <c r="AP250" s="38" t="s">
        <v>13</v>
      </c>
      <c r="AU250" s="37">
        <f>AV250+AW250</f>
        <v>0</v>
      </c>
      <c r="AV250" s="37">
        <f>G250*AN250</f>
        <v>0</v>
      </c>
      <c r="AW250" s="37">
        <f>G250*AO250</f>
        <v>0</v>
      </c>
      <c r="AX250" s="40" t="s">
        <v>1079</v>
      </c>
      <c r="AY250" s="40" t="s">
        <v>1117</v>
      </c>
      <c r="AZ250" s="36" t="s">
        <v>1122</v>
      </c>
      <c r="BB250" s="37">
        <f>AV250+AW250</f>
        <v>0</v>
      </c>
      <c r="BC250" s="37">
        <f>H250/(100-BD250)*100</f>
        <v>0</v>
      </c>
      <c r="BD250" s="37">
        <v>0</v>
      </c>
      <c r="BE250" s="37">
        <f>250</f>
        <v>250</v>
      </c>
      <c r="BG250" s="21">
        <f>G250*AN250</f>
        <v>0</v>
      </c>
      <c r="BH250" s="21">
        <f>G250*AO250</f>
        <v>0</v>
      </c>
      <c r="BI250" s="21">
        <f>G250*H250</f>
        <v>0</v>
      </c>
      <c r="BJ250" s="21" t="s">
        <v>1127</v>
      </c>
      <c r="BK250" s="37">
        <v>767</v>
      </c>
    </row>
    <row r="251" spans="1:63" x14ac:dyDescent="0.25">
      <c r="A251" s="4" t="s">
        <v>181</v>
      </c>
      <c r="B251" s="14" t="s">
        <v>479</v>
      </c>
      <c r="C251" s="117" t="s">
        <v>859</v>
      </c>
      <c r="D251" s="118"/>
      <c r="E251" s="118"/>
      <c r="F251" s="14" t="s">
        <v>1028</v>
      </c>
      <c r="G251" s="21">
        <v>650</v>
      </c>
      <c r="H251" s="21">
        <v>0</v>
      </c>
      <c r="I251" s="21">
        <f>G251*AN251</f>
        <v>0</v>
      </c>
      <c r="J251" s="21">
        <f>G251*AO251</f>
        <v>0</v>
      </c>
      <c r="K251" s="21">
        <f>G251*H251</f>
        <v>0</v>
      </c>
      <c r="L251" s="5"/>
      <c r="Y251" s="37">
        <f>IF(AP251="5",BI251,0)</f>
        <v>0</v>
      </c>
      <c r="AA251" s="37">
        <f>IF(AP251="1",BG251,0)</f>
        <v>0</v>
      </c>
      <c r="AB251" s="37">
        <f>IF(AP251="1",BH251,0)</f>
        <v>0</v>
      </c>
      <c r="AC251" s="37">
        <f>IF(AP251="7",BG251,0)</f>
        <v>0</v>
      </c>
      <c r="AD251" s="37">
        <f>IF(AP251="7",BH251,0)</f>
        <v>0</v>
      </c>
      <c r="AE251" s="37">
        <f>IF(AP251="2",BG251,0)</f>
        <v>0</v>
      </c>
      <c r="AF251" s="37">
        <f>IF(AP251="2",BH251,0)</f>
        <v>0</v>
      </c>
      <c r="AG251" s="37">
        <f>IF(AP251="0",BI251,0)</f>
        <v>0</v>
      </c>
      <c r="AH251" s="36"/>
      <c r="AI251" s="21">
        <f>IF(AM251=0,K251,0)</f>
        <v>0</v>
      </c>
      <c r="AJ251" s="21">
        <f>IF(AM251=15,K251,0)</f>
        <v>0</v>
      </c>
      <c r="AK251" s="21">
        <f>IF(AM251=21,K251,0)</f>
        <v>0</v>
      </c>
      <c r="AM251" s="37">
        <v>21</v>
      </c>
      <c r="AN251" s="37">
        <f>H251*0.502503313208658</f>
        <v>0</v>
      </c>
      <c r="AO251" s="37">
        <f>H251*(1-0.502503313208658)</f>
        <v>0</v>
      </c>
      <c r="AP251" s="38" t="s">
        <v>13</v>
      </c>
      <c r="AU251" s="37">
        <f>AV251+AW251</f>
        <v>0</v>
      </c>
      <c r="AV251" s="37">
        <f>G251*AN251</f>
        <v>0</v>
      </c>
      <c r="AW251" s="37">
        <f>G251*AO251</f>
        <v>0</v>
      </c>
      <c r="AX251" s="40" t="s">
        <v>1079</v>
      </c>
      <c r="AY251" s="40" t="s">
        <v>1117</v>
      </c>
      <c r="AZ251" s="36" t="s">
        <v>1122</v>
      </c>
      <c r="BB251" s="37">
        <f>AV251+AW251</f>
        <v>0</v>
      </c>
      <c r="BC251" s="37">
        <f>H251/(100-BD251)*100</f>
        <v>0</v>
      </c>
      <c r="BD251" s="37">
        <v>0</v>
      </c>
      <c r="BE251" s="37">
        <f>251</f>
        <v>251</v>
      </c>
      <c r="BG251" s="21">
        <f>G251*AN251</f>
        <v>0</v>
      </c>
      <c r="BH251" s="21">
        <f>G251*AO251</f>
        <v>0</v>
      </c>
      <c r="BI251" s="21">
        <f>G251*H251</f>
        <v>0</v>
      </c>
      <c r="BJ251" s="21" t="s">
        <v>1127</v>
      </c>
      <c r="BK251" s="37">
        <v>767</v>
      </c>
    </row>
    <row r="252" spans="1:63" x14ac:dyDescent="0.25">
      <c r="A252" s="6"/>
      <c r="B252" s="15" t="s">
        <v>480</v>
      </c>
      <c r="C252" s="121" t="s">
        <v>860</v>
      </c>
      <c r="D252" s="122"/>
      <c r="E252" s="122"/>
      <c r="F252" s="19" t="s">
        <v>6</v>
      </c>
      <c r="G252" s="19" t="s">
        <v>6</v>
      </c>
      <c r="H252" s="19" t="s">
        <v>6</v>
      </c>
      <c r="I252" s="43">
        <f>SUM(I253:I261)</f>
        <v>0</v>
      </c>
      <c r="J252" s="43">
        <f>SUM(J253:J261)</f>
        <v>0</v>
      </c>
      <c r="K252" s="43">
        <f>SUM(K253:K261)</f>
        <v>0</v>
      </c>
      <c r="L252" s="5"/>
      <c r="AH252" s="36"/>
      <c r="AR252" s="43">
        <f>SUM(AI253:AI261)</f>
        <v>0</v>
      </c>
      <c r="AS252" s="43">
        <f>SUM(AJ253:AJ261)</f>
        <v>0</v>
      </c>
      <c r="AT252" s="43">
        <f>SUM(AK253:AK261)</f>
        <v>0</v>
      </c>
    </row>
    <row r="253" spans="1:63" x14ac:dyDescent="0.25">
      <c r="A253" s="4" t="s">
        <v>182</v>
      </c>
      <c r="B253" s="14" t="s">
        <v>481</v>
      </c>
      <c r="C253" s="117" t="s">
        <v>861</v>
      </c>
      <c r="D253" s="118"/>
      <c r="E253" s="118"/>
      <c r="F253" s="14" t="s">
        <v>1023</v>
      </c>
      <c r="G253" s="21">
        <v>32.57</v>
      </c>
      <c r="H253" s="21">
        <v>0</v>
      </c>
      <c r="I253" s="21">
        <f>G253*AN253</f>
        <v>0</v>
      </c>
      <c r="J253" s="21">
        <f>G253*AO253</f>
        <v>0</v>
      </c>
      <c r="K253" s="21">
        <f>G253*H253</f>
        <v>0</v>
      </c>
      <c r="L253" s="5"/>
      <c r="Y253" s="37">
        <f>IF(AP253="5",BI253,0)</f>
        <v>0</v>
      </c>
      <c r="AA253" s="37">
        <f>IF(AP253="1",BG253,0)</f>
        <v>0</v>
      </c>
      <c r="AB253" s="37">
        <f>IF(AP253="1",BH253,0)</f>
        <v>0</v>
      </c>
      <c r="AC253" s="37">
        <f>IF(AP253="7",BG253,0)</f>
        <v>0</v>
      </c>
      <c r="AD253" s="37">
        <f>IF(AP253="7",BH253,0)</f>
        <v>0</v>
      </c>
      <c r="AE253" s="37">
        <f>IF(AP253="2",BG253,0)</f>
        <v>0</v>
      </c>
      <c r="AF253" s="37">
        <f>IF(AP253="2",BH253,0)</f>
        <v>0</v>
      </c>
      <c r="AG253" s="37">
        <f>IF(AP253="0",BI253,0)</f>
        <v>0</v>
      </c>
      <c r="AH253" s="36"/>
      <c r="AI253" s="21">
        <f>IF(AM253=0,K253,0)</f>
        <v>0</v>
      </c>
      <c r="AJ253" s="21">
        <f>IF(AM253=15,K253,0)</f>
        <v>0</v>
      </c>
      <c r="AK253" s="21">
        <f>IF(AM253=21,K253,0)</f>
        <v>0</v>
      </c>
      <c r="AM253" s="37">
        <v>21</v>
      </c>
      <c r="AN253" s="37">
        <f>H253*0.130452356540433</f>
        <v>0</v>
      </c>
      <c r="AO253" s="37">
        <f>H253*(1-0.130452356540433)</f>
        <v>0</v>
      </c>
      <c r="AP253" s="38" t="s">
        <v>13</v>
      </c>
      <c r="AU253" s="37">
        <f>AV253+AW253</f>
        <v>0</v>
      </c>
      <c r="AV253" s="37">
        <f>G253*AN253</f>
        <v>0</v>
      </c>
      <c r="AW253" s="37">
        <f>G253*AO253</f>
        <v>0</v>
      </c>
      <c r="AX253" s="40" t="s">
        <v>1080</v>
      </c>
      <c r="AY253" s="40" t="s">
        <v>1118</v>
      </c>
      <c r="AZ253" s="36" t="s">
        <v>1122</v>
      </c>
      <c r="BB253" s="37">
        <f>AV253+AW253</f>
        <v>0</v>
      </c>
      <c r="BC253" s="37">
        <f>H253/(100-BD253)*100</f>
        <v>0</v>
      </c>
      <c r="BD253" s="37">
        <v>0</v>
      </c>
      <c r="BE253" s="37">
        <f>253</f>
        <v>253</v>
      </c>
      <c r="BG253" s="21">
        <f>G253*AN253</f>
        <v>0</v>
      </c>
      <c r="BH253" s="21">
        <f>G253*AO253</f>
        <v>0</v>
      </c>
      <c r="BI253" s="21">
        <f>G253*H253</f>
        <v>0</v>
      </c>
      <c r="BJ253" s="21" t="s">
        <v>1127</v>
      </c>
      <c r="BK253" s="37">
        <v>771</v>
      </c>
    </row>
    <row r="254" spans="1:63" x14ac:dyDescent="0.25">
      <c r="A254" s="5"/>
      <c r="C254" s="119" t="s">
        <v>862</v>
      </c>
      <c r="D254" s="120"/>
      <c r="E254" s="120"/>
      <c r="G254" s="22">
        <v>32.57</v>
      </c>
      <c r="L254" s="5"/>
    </row>
    <row r="255" spans="1:63" x14ac:dyDescent="0.25">
      <c r="A255" s="4" t="s">
        <v>183</v>
      </c>
      <c r="B255" s="14" t="s">
        <v>482</v>
      </c>
      <c r="C255" s="117" t="s">
        <v>863</v>
      </c>
      <c r="D255" s="118"/>
      <c r="E255" s="118"/>
      <c r="F255" s="14" t="s">
        <v>1026</v>
      </c>
      <c r="G255" s="21">
        <v>4.3</v>
      </c>
      <c r="H255" s="21">
        <v>0</v>
      </c>
      <c r="I255" s="21">
        <f>G255*AN255</f>
        <v>0</v>
      </c>
      <c r="J255" s="21">
        <f>G255*AO255</f>
        <v>0</v>
      </c>
      <c r="K255" s="21">
        <f>G255*H255</f>
        <v>0</v>
      </c>
      <c r="L255" s="5"/>
      <c r="Y255" s="37">
        <f>IF(AP255="5",BI255,0)</f>
        <v>0</v>
      </c>
      <c r="AA255" s="37">
        <f>IF(AP255="1",BG255,0)</f>
        <v>0</v>
      </c>
      <c r="AB255" s="37">
        <f>IF(AP255="1",BH255,0)</f>
        <v>0</v>
      </c>
      <c r="AC255" s="37">
        <f>IF(AP255="7",BG255,0)</f>
        <v>0</v>
      </c>
      <c r="AD255" s="37">
        <f>IF(AP255="7",BH255,0)</f>
        <v>0</v>
      </c>
      <c r="AE255" s="37">
        <f>IF(AP255="2",BG255,0)</f>
        <v>0</v>
      </c>
      <c r="AF255" s="37">
        <f>IF(AP255="2",BH255,0)</f>
        <v>0</v>
      </c>
      <c r="AG255" s="37">
        <f>IF(AP255="0",BI255,0)</f>
        <v>0</v>
      </c>
      <c r="AH255" s="36"/>
      <c r="AI255" s="21">
        <f>IF(AM255=0,K255,0)</f>
        <v>0</v>
      </c>
      <c r="AJ255" s="21">
        <f>IF(AM255=15,K255,0)</f>
        <v>0</v>
      </c>
      <c r="AK255" s="21">
        <f>IF(AM255=21,K255,0)</f>
        <v>0</v>
      </c>
      <c r="AM255" s="37">
        <v>21</v>
      </c>
      <c r="AN255" s="37">
        <f>H255*0.051</f>
        <v>0</v>
      </c>
      <c r="AO255" s="37">
        <f>H255*(1-0.051)</f>
        <v>0</v>
      </c>
      <c r="AP255" s="38" t="s">
        <v>13</v>
      </c>
      <c r="AU255" s="37">
        <f>AV255+AW255</f>
        <v>0</v>
      </c>
      <c r="AV255" s="37">
        <f>G255*AN255</f>
        <v>0</v>
      </c>
      <c r="AW255" s="37">
        <f>G255*AO255</f>
        <v>0</v>
      </c>
      <c r="AX255" s="40" t="s">
        <v>1080</v>
      </c>
      <c r="AY255" s="40" t="s">
        <v>1118</v>
      </c>
      <c r="AZ255" s="36" t="s">
        <v>1122</v>
      </c>
      <c r="BB255" s="37">
        <f>AV255+AW255</f>
        <v>0</v>
      </c>
      <c r="BC255" s="37">
        <f>H255/(100-BD255)*100</f>
        <v>0</v>
      </c>
      <c r="BD255" s="37">
        <v>0</v>
      </c>
      <c r="BE255" s="37">
        <f>255</f>
        <v>255</v>
      </c>
      <c r="BG255" s="21">
        <f>G255*AN255</f>
        <v>0</v>
      </c>
      <c r="BH255" s="21">
        <f>G255*AO255</f>
        <v>0</v>
      </c>
      <c r="BI255" s="21">
        <f>G255*H255</f>
        <v>0</v>
      </c>
      <c r="BJ255" s="21" t="s">
        <v>1127</v>
      </c>
      <c r="BK255" s="37">
        <v>771</v>
      </c>
    </row>
    <row r="256" spans="1:63" x14ac:dyDescent="0.25">
      <c r="A256" s="5"/>
      <c r="C256" s="119" t="s">
        <v>864</v>
      </c>
      <c r="D256" s="120"/>
      <c r="E256" s="120"/>
      <c r="G256" s="22">
        <v>4.3</v>
      </c>
      <c r="L256" s="5"/>
    </row>
    <row r="257" spans="1:63" x14ac:dyDescent="0.25">
      <c r="A257" s="4" t="s">
        <v>184</v>
      </c>
      <c r="B257" s="14" t="s">
        <v>483</v>
      </c>
      <c r="C257" s="117" t="s">
        <v>865</v>
      </c>
      <c r="D257" s="118"/>
      <c r="E257" s="118"/>
      <c r="F257" s="14" t="s">
        <v>1023</v>
      </c>
      <c r="G257" s="21">
        <v>33.43</v>
      </c>
      <c r="H257" s="21">
        <v>0</v>
      </c>
      <c r="I257" s="21">
        <f>G257*AN257</f>
        <v>0</v>
      </c>
      <c r="J257" s="21">
        <f>G257*AO257</f>
        <v>0</v>
      </c>
      <c r="K257" s="21">
        <f>G257*H257</f>
        <v>0</v>
      </c>
      <c r="L257" s="5"/>
      <c r="Y257" s="37">
        <f>IF(AP257="5",BI257,0)</f>
        <v>0</v>
      </c>
      <c r="AA257" s="37">
        <f>IF(AP257="1",BG257,0)</f>
        <v>0</v>
      </c>
      <c r="AB257" s="37">
        <f>IF(AP257="1",BH257,0)</f>
        <v>0</v>
      </c>
      <c r="AC257" s="37">
        <f>IF(AP257="7",BG257,0)</f>
        <v>0</v>
      </c>
      <c r="AD257" s="37">
        <f>IF(AP257="7",BH257,0)</f>
        <v>0</v>
      </c>
      <c r="AE257" s="37">
        <f>IF(AP257="2",BG257,0)</f>
        <v>0</v>
      </c>
      <c r="AF257" s="37">
        <f>IF(AP257="2",BH257,0)</f>
        <v>0</v>
      </c>
      <c r="AG257" s="37">
        <f>IF(AP257="0",BI257,0)</f>
        <v>0</v>
      </c>
      <c r="AH257" s="36"/>
      <c r="AI257" s="21">
        <f>IF(AM257=0,K257,0)</f>
        <v>0</v>
      </c>
      <c r="AJ257" s="21">
        <f>IF(AM257=15,K257,0)</f>
        <v>0</v>
      </c>
      <c r="AK257" s="21">
        <f>IF(AM257=21,K257,0)</f>
        <v>0</v>
      </c>
      <c r="AM257" s="37">
        <v>21</v>
      </c>
      <c r="AN257" s="37">
        <f>H257*0</f>
        <v>0</v>
      </c>
      <c r="AO257" s="37">
        <f>H257*(1-0)</f>
        <v>0</v>
      </c>
      <c r="AP257" s="38" t="s">
        <v>13</v>
      </c>
      <c r="AU257" s="37">
        <f>AV257+AW257</f>
        <v>0</v>
      </c>
      <c r="AV257" s="37">
        <f>G257*AN257</f>
        <v>0</v>
      </c>
      <c r="AW257" s="37">
        <f>G257*AO257</f>
        <v>0</v>
      </c>
      <c r="AX257" s="40" t="s">
        <v>1080</v>
      </c>
      <c r="AY257" s="40" t="s">
        <v>1118</v>
      </c>
      <c r="AZ257" s="36" t="s">
        <v>1122</v>
      </c>
      <c r="BB257" s="37">
        <f>AV257+AW257</f>
        <v>0</v>
      </c>
      <c r="BC257" s="37">
        <f>H257/(100-BD257)*100</f>
        <v>0</v>
      </c>
      <c r="BD257" s="37">
        <v>0</v>
      </c>
      <c r="BE257" s="37">
        <f>257</f>
        <v>257</v>
      </c>
      <c r="BG257" s="21">
        <f>G257*AN257</f>
        <v>0</v>
      </c>
      <c r="BH257" s="21">
        <f>G257*AO257</f>
        <v>0</v>
      </c>
      <c r="BI257" s="21">
        <f>G257*H257</f>
        <v>0</v>
      </c>
      <c r="BJ257" s="21" t="s">
        <v>1127</v>
      </c>
      <c r="BK257" s="37">
        <v>771</v>
      </c>
    </row>
    <row r="258" spans="1:63" x14ac:dyDescent="0.25">
      <c r="A258" s="5"/>
      <c r="C258" s="119" t="s">
        <v>866</v>
      </c>
      <c r="D258" s="120"/>
      <c r="E258" s="120"/>
      <c r="G258" s="22">
        <v>33.43</v>
      </c>
      <c r="L258" s="5"/>
    </row>
    <row r="259" spans="1:63" x14ac:dyDescent="0.25">
      <c r="A259" s="7" t="s">
        <v>185</v>
      </c>
      <c r="B259" s="16" t="s">
        <v>484</v>
      </c>
      <c r="C259" s="123" t="s">
        <v>867</v>
      </c>
      <c r="D259" s="124"/>
      <c r="E259" s="124"/>
      <c r="F259" s="16" t="s">
        <v>1023</v>
      </c>
      <c r="G259" s="23">
        <v>36.1</v>
      </c>
      <c r="H259" s="23">
        <v>0</v>
      </c>
      <c r="I259" s="23">
        <f>G259*AN259</f>
        <v>0</v>
      </c>
      <c r="J259" s="23">
        <f>G259*AO259</f>
        <v>0</v>
      </c>
      <c r="K259" s="23">
        <f>G259*H259</f>
        <v>0</v>
      </c>
      <c r="L259" s="5"/>
      <c r="Y259" s="37">
        <f>IF(AP259="5",BI259,0)</f>
        <v>0</v>
      </c>
      <c r="AA259" s="37">
        <f>IF(AP259="1",BG259,0)</f>
        <v>0</v>
      </c>
      <c r="AB259" s="37">
        <f>IF(AP259="1",BH259,0)</f>
        <v>0</v>
      </c>
      <c r="AC259" s="37">
        <f>IF(AP259="7",BG259,0)</f>
        <v>0</v>
      </c>
      <c r="AD259" s="37">
        <f>IF(AP259="7",BH259,0)</f>
        <v>0</v>
      </c>
      <c r="AE259" s="37">
        <f>IF(AP259="2",BG259,0)</f>
        <v>0</v>
      </c>
      <c r="AF259" s="37">
        <f>IF(AP259="2",BH259,0)</f>
        <v>0</v>
      </c>
      <c r="AG259" s="37">
        <f>IF(AP259="0",BI259,0)</f>
        <v>0</v>
      </c>
      <c r="AH259" s="36"/>
      <c r="AI259" s="23">
        <f>IF(AM259=0,K259,0)</f>
        <v>0</v>
      </c>
      <c r="AJ259" s="23">
        <f>IF(AM259=15,K259,0)</f>
        <v>0</v>
      </c>
      <c r="AK259" s="23">
        <f>IF(AM259=21,K259,0)</f>
        <v>0</v>
      </c>
      <c r="AM259" s="37">
        <v>21</v>
      </c>
      <c r="AN259" s="37">
        <f>H259*1</f>
        <v>0</v>
      </c>
      <c r="AO259" s="37">
        <f>H259*(1-1)</f>
        <v>0</v>
      </c>
      <c r="AP259" s="39" t="s">
        <v>13</v>
      </c>
      <c r="AU259" s="37">
        <f>AV259+AW259</f>
        <v>0</v>
      </c>
      <c r="AV259" s="37">
        <f>G259*AN259</f>
        <v>0</v>
      </c>
      <c r="AW259" s="37">
        <f>G259*AO259</f>
        <v>0</v>
      </c>
      <c r="AX259" s="40" t="s">
        <v>1080</v>
      </c>
      <c r="AY259" s="40" t="s">
        <v>1118</v>
      </c>
      <c r="AZ259" s="36" t="s">
        <v>1122</v>
      </c>
      <c r="BB259" s="37">
        <f>AV259+AW259</f>
        <v>0</v>
      </c>
      <c r="BC259" s="37">
        <f>H259/(100-BD259)*100</f>
        <v>0</v>
      </c>
      <c r="BD259" s="37">
        <v>0</v>
      </c>
      <c r="BE259" s="37">
        <f>259</f>
        <v>259</v>
      </c>
      <c r="BG259" s="23">
        <f>G259*AN259</f>
        <v>0</v>
      </c>
      <c r="BH259" s="23">
        <f>G259*AO259</f>
        <v>0</v>
      </c>
      <c r="BI259" s="23">
        <f>G259*H259</f>
        <v>0</v>
      </c>
      <c r="BJ259" s="23" t="s">
        <v>1128</v>
      </c>
      <c r="BK259" s="37">
        <v>771</v>
      </c>
    </row>
    <row r="260" spans="1:63" x14ac:dyDescent="0.25">
      <c r="A260" s="5"/>
      <c r="C260" s="119" t="s">
        <v>868</v>
      </c>
      <c r="D260" s="120"/>
      <c r="E260" s="120"/>
      <c r="G260" s="22">
        <v>36.1</v>
      </c>
      <c r="L260" s="5"/>
    </row>
    <row r="261" spans="1:63" x14ac:dyDescent="0.25">
      <c r="A261" s="7" t="s">
        <v>186</v>
      </c>
      <c r="B261" s="16" t="s">
        <v>485</v>
      </c>
      <c r="C261" s="123" t="s">
        <v>869</v>
      </c>
      <c r="D261" s="124"/>
      <c r="E261" s="124"/>
      <c r="F261" s="16" t="s">
        <v>1023</v>
      </c>
      <c r="G261" s="23">
        <v>2.57</v>
      </c>
      <c r="H261" s="23">
        <v>0</v>
      </c>
      <c r="I261" s="23">
        <f>G261*AN261</f>
        <v>0</v>
      </c>
      <c r="J261" s="23">
        <f>G261*AO261</f>
        <v>0</v>
      </c>
      <c r="K261" s="23">
        <f>G261*H261</f>
        <v>0</v>
      </c>
      <c r="L261" s="5"/>
      <c r="Y261" s="37">
        <f>IF(AP261="5",BI261,0)</f>
        <v>0</v>
      </c>
      <c r="AA261" s="37">
        <f>IF(AP261="1",BG261,0)</f>
        <v>0</v>
      </c>
      <c r="AB261" s="37">
        <f>IF(AP261="1",BH261,0)</f>
        <v>0</v>
      </c>
      <c r="AC261" s="37">
        <f>IF(AP261="7",BG261,0)</f>
        <v>0</v>
      </c>
      <c r="AD261" s="37">
        <f>IF(AP261="7",BH261,0)</f>
        <v>0</v>
      </c>
      <c r="AE261" s="37">
        <f>IF(AP261="2",BG261,0)</f>
        <v>0</v>
      </c>
      <c r="AF261" s="37">
        <f>IF(AP261="2",BH261,0)</f>
        <v>0</v>
      </c>
      <c r="AG261" s="37">
        <f>IF(AP261="0",BI261,0)</f>
        <v>0</v>
      </c>
      <c r="AH261" s="36"/>
      <c r="AI261" s="23">
        <f>IF(AM261=0,K261,0)</f>
        <v>0</v>
      </c>
      <c r="AJ261" s="23">
        <f>IF(AM261=15,K261,0)</f>
        <v>0</v>
      </c>
      <c r="AK261" s="23">
        <f>IF(AM261=21,K261,0)</f>
        <v>0</v>
      </c>
      <c r="AM261" s="37">
        <v>21</v>
      </c>
      <c r="AN261" s="37">
        <f>H261*1</f>
        <v>0</v>
      </c>
      <c r="AO261" s="37">
        <f>H261*(1-1)</f>
        <v>0</v>
      </c>
      <c r="AP261" s="39" t="s">
        <v>13</v>
      </c>
      <c r="AU261" s="37">
        <f>AV261+AW261</f>
        <v>0</v>
      </c>
      <c r="AV261" s="37">
        <f>G261*AN261</f>
        <v>0</v>
      </c>
      <c r="AW261" s="37">
        <f>G261*AO261</f>
        <v>0</v>
      </c>
      <c r="AX261" s="40" t="s">
        <v>1080</v>
      </c>
      <c r="AY261" s="40" t="s">
        <v>1118</v>
      </c>
      <c r="AZ261" s="36" t="s">
        <v>1122</v>
      </c>
      <c r="BB261" s="37">
        <f>AV261+AW261</f>
        <v>0</v>
      </c>
      <c r="BC261" s="37">
        <f>H261/(100-BD261)*100</f>
        <v>0</v>
      </c>
      <c r="BD261" s="37">
        <v>0</v>
      </c>
      <c r="BE261" s="37">
        <f>261</f>
        <v>261</v>
      </c>
      <c r="BG261" s="23">
        <f>G261*AN261</f>
        <v>0</v>
      </c>
      <c r="BH261" s="23">
        <f>G261*AO261</f>
        <v>0</v>
      </c>
      <c r="BI261" s="23">
        <f>G261*H261</f>
        <v>0</v>
      </c>
      <c r="BJ261" s="23" t="s">
        <v>1128</v>
      </c>
      <c r="BK261" s="37">
        <v>771</v>
      </c>
    </row>
    <row r="262" spans="1:63" x14ac:dyDescent="0.25">
      <c r="A262" s="5"/>
      <c r="C262" s="119" t="s">
        <v>870</v>
      </c>
      <c r="D262" s="120"/>
      <c r="E262" s="120"/>
      <c r="G262" s="22">
        <v>2.57</v>
      </c>
      <c r="L262" s="5"/>
    </row>
    <row r="263" spans="1:63" x14ac:dyDescent="0.25">
      <c r="A263" s="6"/>
      <c r="B263" s="15" t="s">
        <v>486</v>
      </c>
      <c r="C263" s="121" t="s">
        <v>871</v>
      </c>
      <c r="D263" s="122"/>
      <c r="E263" s="122"/>
      <c r="F263" s="19" t="s">
        <v>6</v>
      </c>
      <c r="G263" s="19" t="s">
        <v>6</v>
      </c>
      <c r="H263" s="19" t="s">
        <v>6</v>
      </c>
      <c r="I263" s="43">
        <f>SUM(I264:I269)</f>
        <v>0</v>
      </c>
      <c r="J263" s="43">
        <f>SUM(J264:J269)</f>
        <v>0</v>
      </c>
      <c r="K263" s="43">
        <f>SUM(K264:K269)</f>
        <v>0</v>
      </c>
      <c r="L263" s="5"/>
      <c r="AH263" s="36"/>
      <c r="AR263" s="43">
        <f>SUM(AI264:AI269)</f>
        <v>0</v>
      </c>
      <c r="AS263" s="43">
        <f>SUM(AJ264:AJ269)</f>
        <v>0</v>
      </c>
      <c r="AT263" s="43">
        <f>SUM(AK264:AK269)</f>
        <v>0</v>
      </c>
    </row>
    <row r="264" spans="1:63" x14ac:dyDescent="0.25">
      <c r="A264" s="4" t="s">
        <v>187</v>
      </c>
      <c r="B264" s="14" t="s">
        <v>487</v>
      </c>
      <c r="C264" s="117" t="s">
        <v>872</v>
      </c>
      <c r="D264" s="118"/>
      <c r="E264" s="118"/>
      <c r="F264" s="14" t="s">
        <v>1024</v>
      </c>
      <c r="G264" s="21">
        <v>12</v>
      </c>
      <c r="H264" s="21">
        <v>0</v>
      </c>
      <c r="I264" s="21">
        <f>G264*AN264</f>
        <v>0</v>
      </c>
      <c r="J264" s="21">
        <f>G264*AO264</f>
        <v>0</v>
      </c>
      <c r="K264" s="21">
        <f t="shared" ref="K264:K269" si="121">G264*H264</f>
        <v>0</v>
      </c>
      <c r="L264" s="5"/>
      <c r="Y264" s="37">
        <f t="shared" ref="Y264:Y269" si="122">IF(AP264="5",BI264,0)</f>
        <v>0</v>
      </c>
      <c r="AA264" s="37">
        <f t="shared" ref="AA264:AA269" si="123">IF(AP264="1",BG264,0)</f>
        <v>0</v>
      </c>
      <c r="AB264" s="37">
        <f t="shared" ref="AB264:AB269" si="124">IF(AP264="1",BH264,0)</f>
        <v>0</v>
      </c>
      <c r="AC264" s="37">
        <f t="shared" ref="AC264:AC269" si="125">IF(AP264="7",BG264,0)</f>
        <v>0</v>
      </c>
      <c r="AD264" s="37">
        <f t="shared" ref="AD264:AD269" si="126">IF(AP264="7",BH264,0)</f>
        <v>0</v>
      </c>
      <c r="AE264" s="37">
        <f t="shared" ref="AE264:AE269" si="127">IF(AP264="2",BG264,0)</f>
        <v>0</v>
      </c>
      <c r="AF264" s="37">
        <f t="shared" ref="AF264:AF269" si="128">IF(AP264="2",BH264,0)</f>
        <v>0</v>
      </c>
      <c r="AG264" s="37">
        <f t="shared" ref="AG264:AG269" si="129">IF(AP264="0",BI264,0)</f>
        <v>0</v>
      </c>
      <c r="AH264" s="36"/>
      <c r="AI264" s="21">
        <f>IF(AM264=0,K264,0)</f>
        <v>0</v>
      </c>
      <c r="AJ264" s="21">
        <f>IF(AM264=15,K264,0)</f>
        <v>0</v>
      </c>
      <c r="AK264" s="21">
        <f>IF(AM264=21,K264,0)</f>
        <v>0</v>
      </c>
      <c r="AM264" s="37">
        <v>21</v>
      </c>
      <c r="AN264" s="37">
        <f>H264*0.467238805970149</f>
        <v>0</v>
      </c>
      <c r="AO264" s="37">
        <f>H264*(1-0.467238805970149)</f>
        <v>0</v>
      </c>
      <c r="AP264" s="38" t="s">
        <v>13</v>
      </c>
      <c r="AU264" s="37">
        <f t="shared" ref="AU264:AU269" si="130">AV264+AW264</f>
        <v>0</v>
      </c>
      <c r="AV264" s="37">
        <f>G264*AN264</f>
        <v>0</v>
      </c>
      <c r="AW264" s="37">
        <f>G264*AO264</f>
        <v>0</v>
      </c>
      <c r="AX264" s="40" t="s">
        <v>1081</v>
      </c>
      <c r="AY264" s="40" t="s">
        <v>1119</v>
      </c>
      <c r="AZ264" s="36" t="s">
        <v>1122</v>
      </c>
      <c r="BB264" s="37">
        <f t="shared" ref="BB264:BB269" si="131">AV264+AW264</f>
        <v>0</v>
      </c>
      <c r="BC264" s="37">
        <f>H264/(100-BD264)*100</f>
        <v>0</v>
      </c>
      <c r="BD264" s="37">
        <v>0</v>
      </c>
      <c r="BE264" s="37">
        <f>264</f>
        <v>264</v>
      </c>
      <c r="BG264" s="21">
        <f>G264*AN264</f>
        <v>0</v>
      </c>
      <c r="BH264" s="21">
        <f>G264*AO264</f>
        <v>0</v>
      </c>
      <c r="BI264" s="21">
        <f>G264*H264</f>
        <v>0</v>
      </c>
      <c r="BJ264" s="21" t="s">
        <v>1127</v>
      </c>
      <c r="BK264" s="37">
        <v>783</v>
      </c>
    </row>
    <row r="265" spans="1:63" x14ac:dyDescent="0.25">
      <c r="A265" s="4" t="s">
        <v>188</v>
      </c>
      <c r="B265" s="14" t="s">
        <v>488</v>
      </c>
      <c r="C265" s="117" t="s">
        <v>873</v>
      </c>
      <c r="D265" s="118"/>
      <c r="E265" s="118"/>
      <c r="F265" s="14" t="s">
        <v>1026</v>
      </c>
      <c r="G265" s="21">
        <v>42</v>
      </c>
      <c r="H265" s="21">
        <v>0</v>
      </c>
      <c r="I265" s="21">
        <f>G265*AN265</f>
        <v>0</v>
      </c>
      <c r="J265" s="21">
        <f>G265*AO265</f>
        <v>0</v>
      </c>
      <c r="K265" s="21">
        <f t="shared" si="121"/>
        <v>0</v>
      </c>
      <c r="L265" s="5"/>
      <c r="Y265" s="37">
        <f t="shared" si="122"/>
        <v>0</v>
      </c>
      <c r="AA265" s="37">
        <f t="shared" si="123"/>
        <v>0</v>
      </c>
      <c r="AB265" s="37">
        <f t="shared" si="124"/>
        <v>0</v>
      </c>
      <c r="AC265" s="37">
        <f t="shared" si="125"/>
        <v>0</v>
      </c>
      <c r="AD265" s="37">
        <f t="shared" si="126"/>
        <v>0</v>
      </c>
      <c r="AE265" s="37">
        <f t="shared" si="127"/>
        <v>0</v>
      </c>
      <c r="AF265" s="37">
        <f t="shared" si="128"/>
        <v>0</v>
      </c>
      <c r="AG265" s="37">
        <f t="shared" si="129"/>
        <v>0</v>
      </c>
      <c r="AH265" s="36"/>
      <c r="AI265" s="21">
        <f>IF(AM265=0,K265,0)</f>
        <v>0</v>
      </c>
      <c r="AJ265" s="21">
        <f>IF(AM265=15,K265,0)</f>
        <v>0</v>
      </c>
      <c r="AK265" s="21">
        <f>IF(AM265=21,K265,0)</f>
        <v>0</v>
      </c>
      <c r="AM265" s="37">
        <v>21</v>
      </c>
      <c r="AN265" s="37">
        <f>H265*0.242760942760943</f>
        <v>0</v>
      </c>
      <c r="AO265" s="37">
        <f>H265*(1-0.242760942760943)</f>
        <v>0</v>
      </c>
      <c r="AP265" s="38" t="s">
        <v>13</v>
      </c>
      <c r="AU265" s="37">
        <f t="shared" si="130"/>
        <v>0</v>
      </c>
      <c r="AV265" s="37">
        <f>G265*AN265</f>
        <v>0</v>
      </c>
      <c r="AW265" s="37">
        <f>G265*AO265</f>
        <v>0</v>
      </c>
      <c r="AX265" s="40" t="s">
        <v>1081</v>
      </c>
      <c r="AY265" s="40" t="s">
        <v>1119</v>
      </c>
      <c r="AZ265" s="36" t="s">
        <v>1122</v>
      </c>
      <c r="BB265" s="37">
        <f t="shared" si="131"/>
        <v>0</v>
      </c>
      <c r="BC265" s="37">
        <f>H265/(100-BD265)*100</f>
        <v>0</v>
      </c>
      <c r="BD265" s="37">
        <v>0</v>
      </c>
      <c r="BE265" s="37">
        <f>265</f>
        <v>265</v>
      </c>
      <c r="BG265" s="21">
        <f>G265*AN265</f>
        <v>0</v>
      </c>
      <c r="BH265" s="21">
        <f>G265*AO265</f>
        <v>0</v>
      </c>
      <c r="BI265" s="21">
        <f>G265*H265</f>
        <v>0</v>
      </c>
      <c r="BJ265" s="21" t="s">
        <v>1127</v>
      </c>
      <c r="BK265" s="37">
        <v>783</v>
      </c>
    </row>
    <row r="266" spans="1:63" x14ac:dyDescent="0.25">
      <c r="A266" s="4" t="s">
        <v>189</v>
      </c>
      <c r="B266" s="14" t="s">
        <v>489</v>
      </c>
      <c r="C266" s="117" t="s">
        <v>874</v>
      </c>
      <c r="D266" s="118"/>
      <c r="E266" s="118"/>
      <c r="F266" s="14" t="s">
        <v>1026</v>
      </c>
      <c r="G266" s="21">
        <v>12</v>
      </c>
      <c r="H266" s="21">
        <v>0</v>
      </c>
      <c r="I266" s="21">
        <f>G266*AN266</f>
        <v>0</v>
      </c>
      <c r="J266" s="21">
        <f>G266*AO266</f>
        <v>0</v>
      </c>
      <c r="K266" s="21">
        <f t="shared" si="121"/>
        <v>0</v>
      </c>
      <c r="L266" s="5"/>
      <c r="Y266" s="37">
        <f t="shared" si="122"/>
        <v>0</v>
      </c>
      <c r="AA266" s="37">
        <f t="shared" si="123"/>
        <v>0</v>
      </c>
      <c r="AB266" s="37">
        <f t="shared" si="124"/>
        <v>0</v>
      </c>
      <c r="AC266" s="37">
        <f t="shared" si="125"/>
        <v>0</v>
      </c>
      <c r="AD266" s="37">
        <f t="shared" si="126"/>
        <v>0</v>
      </c>
      <c r="AE266" s="37">
        <f t="shared" si="127"/>
        <v>0</v>
      </c>
      <c r="AF266" s="37">
        <f t="shared" si="128"/>
        <v>0</v>
      </c>
      <c r="AG266" s="37">
        <f t="shared" si="129"/>
        <v>0</v>
      </c>
      <c r="AH266" s="36"/>
      <c r="AI266" s="21">
        <f>IF(AM266=0,K266,0)</f>
        <v>0</v>
      </c>
      <c r="AJ266" s="21">
        <f>IF(AM266=15,K266,0)</f>
        <v>0</v>
      </c>
      <c r="AK266" s="21">
        <f>IF(AM266=21,K266,0)</f>
        <v>0</v>
      </c>
      <c r="AM266" s="37">
        <v>21</v>
      </c>
      <c r="AN266" s="37">
        <f>H266*0.258475894245723</f>
        <v>0</v>
      </c>
      <c r="AO266" s="37">
        <f>H266*(1-0.258475894245723)</f>
        <v>0</v>
      </c>
      <c r="AP266" s="38" t="s">
        <v>13</v>
      </c>
      <c r="AU266" s="37">
        <f t="shared" si="130"/>
        <v>0</v>
      </c>
      <c r="AV266" s="37">
        <f>G266*AN266</f>
        <v>0</v>
      </c>
      <c r="AW266" s="37">
        <f>G266*AO266</f>
        <v>0</v>
      </c>
      <c r="AX266" s="40" t="s">
        <v>1081</v>
      </c>
      <c r="AY266" s="40" t="s">
        <v>1119</v>
      </c>
      <c r="AZ266" s="36" t="s">
        <v>1122</v>
      </c>
      <c r="BB266" s="37">
        <f t="shared" si="131"/>
        <v>0</v>
      </c>
      <c r="BC266" s="37">
        <f>H266/(100-BD266)*100</f>
        <v>0</v>
      </c>
      <c r="BD266" s="37">
        <v>0</v>
      </c>
      <c r="BE266" s="37">
        <f>266</f>
        <v>266</v>
      </c>
      <c r="BG266" s="21">
        <f>G266*AN266</f>
        <v>0</v>
      </c>
      <c r="BH266" s="21">
        <f>G266*AO266</f>
        <v>0</v>
      </c>
      <c r="BI266" s="21">
        <f>G266*H266</f>
        <v>0</v>
      </c>
      <c r="BJ266" s="21" t="s">
        <v>1127</v>
      </c>
      <c r="BK266" s="37">
        <v>783</v>
      </c>
    </row>
    <row r="267" spans="1:63" x14ac:dyDescent="0.25">
      <c r="A267" s="4" t="s">
        <v>190</v>
      </c>
      <c r="B267" s="14" t="s">
        <v>490</v>
      </c>
      <c r="C267" s="117" t="s">
        <v>875</v>
      </c>
      <c r="D267" s="118"/>
      <c r="E267" s="118"/>
      <c r="F267" s="14" t="s">
        <v>1026</v>
      </c>
      <c r="G267" s="21">
        <v>22</v>
      </c>
      <c r="H267" s="21">
        <v>0</v>
      </c>
      <c r="I267" s="21">
        <f>G267*AN267</f>
        <v>0</v>
      </c>
      <c r="J267" s="21">
        <f>G267*AO267</f>
        <v>0</v>
      </c>
      <c r="K267" s="21">
        <f t="shared" si="121"/>
        <v>0</v>
      </c>
      <c r="L267" s="5"/>
      <c r="Y267" s="37">
        <f t="shared" si="122"/>
        <v>0</v>
      </c>
      <c r="AA267" s="37">
        <f t="shared" si="123"/>
        <v>0</v>
      </c>
      <c r="AB267" s="37">
        <f t="shared" si="124"/>
        <v>0</v>
      </c>
      <c r="AC267" s="37">
        <f t="shared" si="125"/>
        <v>0</v>
      </c>
      <c r="AD267" s="37">
        <f t="shared" si="126"/>
        <v>0</v>
      </c>
      <c r="AE267" s="37">
        <f t="shared" si="127"/>
        <v>0</v>
      </c>
      <c r="AF267" s="37">
        <f t="shared" si="128"/>
        <v>0</v>
      </c>
      <c r="AG267" s="37">
        <f t="shared" si="129"/>
        <v>0</v>
      </c>
      <c r="AH267" s="36"/>
      <c r="AI267" s="21">
        <f>IF(AM267=0,K267,0)</f>
        <v>0</v>
      </c>
      <c r="AJ267" s="21">
        <f>IF(AM267=15,K267,0)</f>
        <v>0</v>
      </c>
      <c r="AK267" s="21">
        <f>IF(AM267=21,K267,0)</f>
        <v>0</v>
      </c>
      <c r="AM267" s="37">
        <v>21</v>
      </c>
      <c r="AN267" s="37">
        <f>H267*0.219861895794099</f>
        <v>0</v>
      </c>
      <c r="AO267" s="37">
        <f>H267*(1-0.219861895794099)</f>
        <v>0</v>
      </c>
      <c r="AP267" s="38" t="s">
        <v>13</v>
      </c>
      <c r="AU267" s="37">
        <f t="shared" si="130"/>
        <v>0</v>
      </c>
      <c r="AV267" s="37">
        <f>G267*AN267</f>
        <v>0</v>
      </c>
      <c r="AW267" s="37">
        <f>G267*AO267</f>
        <v>0</v>
      </c>
      <c r="AX267" s="40" t="s">
        <v>1081</v>
      </c>
      <c r="AY267" s="40" t="s">
        <v>1119</v>
      </c>
      <c r="AZ267" s="36" t="s">
        <v>1122</v>
      </c>
      <c r="BB267" s="37">
        <f t="shared" si="131"/>
        <v>0</v>
      </c>
      <c r="BC267" s="37">
        <f>H267/(100-BD267)*100</f>
        <v>0</v>
      </c>
      <c r="BD267" s="37">
        <v>0</v>
      </c>
      <c r="BE267" s="37">
        <f>267</f>
        <v>267</v>
      </c>
      <c r="BG267" s="21">
        <f>G267*AN267</f>
        <v>0</v>
      </c>
      <c r="BH267" s="21">
        <f>G267*AO267</f>
        <v>0</v>
      </c>
      <c r="BI267" s="21">
        <f>G267*H267</f>
        <v>0</v>
      </c>
      <c r="BJ267" s="21" t="s">
        <v>1127</v>
      </c>
      <c r="BK267" s="37">
        <v>783</v>
      </c>
    </row>
    <row r="268" spans="1:63" x14ac:dyDescent="0.25">
      <c r="A268" s="4" t="s">
        <v>191</v>
      </c>
      <c r="B268" s="14" t="s">
        <v>491</v>
      </c>
      <c r="C268" s="117" t="s">
        <v>876</v>
      </c>
      <c r="D268" s="118"/>
      <c r="E268" s="118"/>
      <c r="F268" s="14" t="s">
        <v>1023</v>
      </c>
      <c r="G268" s="21">
        <v>30</v>
      </c>
      <c r="H268" s="21">
        <v>0</v>
      </c>
      <c r="I268" s="21">
        <f>G268*AN268</f>
        <v>0</v>
      </c>
      <c r="J268" s="21">
        <f>G268*AO268</f>
        <v>0</v>
      </c>
      <c r="K268" s="21">
        <f t="shared" si="121"/>
        <v>0</v>
      </c>
      <c r="L268" s="5"/>
      <c r="Y268" s="37">
        <f t="shared" si="122"/>
        <v>0</v>
      </c>
      <c r="AA268" s="37">
        <f t="shared" si="123"/>
        <v>0</v>
      </c>
      <c r="AB268" s="37">
        <f t="shared" si="124"/>
        <v>0</v>
      </c>
      <c r="AC268" s="37">
        <f t="shared" si="125"/>
        <v>0</v>
      </c>
      <c r="AD268" s="37">
        <f t="shared" si="126"/>
        <v>0</v>
      </c>
      <c r="AE268" s="37">
        <f t="shared" si="127"/>
        <v>0</v>
      </c>
      <c r="AF268" s="37">
        <f t="shared" si="128"/>
        <v>0</v>
      </c>
      <c r="AG268" s="37">
        <f t="shared" si="129"/>
        <v>0</v>
      </c>
      <c r="AH268" s="36"/>
      <c r="AI268" s="21">
        <f>IF(AM268=0,K268,0)</f>
        <v>0</v>
      </c>
      <c r="AJ268" s="21">
        <f>IF(AM268=15,K268,0)</f>
        <v>0</v>
      </c>
      <c r="AK268" s="21">
        <f>IF(AM268=21,K268,0)</f>
        <v>0</v>
      </c>
      <c r="AM268" s="37">
        <v>21</v>
      </c>
      <c r="AN268" s="37">
        <f>H268*0.593814432989691</f>
        <v>0</v>
      </c>
      <c r="AO268" s="37">
        <f>H268*(1-0.593814432989691)</f>
        <v>0</v>
      </c>
      <c r="AP268" s="38" t="s">
        <v>13</v>
      </c>
      <c r="AU268" s="37">
        <f t="shared" si="130"/>
        <v>0</v>
      </c>
      <c r="AV268" s="37">
        <f>G268*AN268</f>
        <v>0</v>
      </c>
      <c r="AW268" s="37">
        <f>G268*AO268</f>
        <v>0</v>
      </c>
      <c r="AX268" s="40" t="s">
        <v>1081</v>
      </c>
      <c r="AY268" s="40" t="s">
        <v>1119</v>
      </c>
      <c r="AZ268" s="36" t="s">
        <v>1122</v>
      </c>
      <c r="BB268" s="37">
        <f t="shared" si="131"/>
        <v>0</v>
      </c>
      <c r="BC268" s="37">
        <f>H268/(100-BD268)*100</f>
        <v>0</v>
      </c>
      <c r="BD268" s="37">
        <v>0</v>
      </c>
      <c r="BE268" s="37">
        <f>268</f>
        <v>268</v>
      </c>
      <c r="BG268" s="21">
        <f>G268*AN268</f>
        <v>0</v>
      </c>
      <c r="BH268" s="21">
        <f>G268*AO268</f>
        <v>0</v>
      </c>
      <c r="BI268" s="21">
        <f>G268*H268</f>
        <v>0</v>
      </c>
      <c r="BJ268" s="21" t="s">
        <v>1127</v>
      </c>
      <c r="BK268" s="37">
        <v>783</v>
      </c>
    </row>
    <row r="269" spans="1:63" x14ac:dyDescent="0.25">
      <c r="A269" s="4" t="s">
        <v>192</v>
      </c>
      <c r="B269" s="14" t="s">
        <v>492</v>
      </c>
      <c r="C269" s="117" t="s">
        <v>877</v>
      </c>
      <c r="D269" s="118"/>
      <c r="E269" s="118"/>
      <c r="F269" s="14" t="s">
        <v>1023</v>
      </c>
      <c r="G269" s="21">
        <v>30</v>
      </c>
      <c r="H269" s="21">
        <v>0</v>
      </c>
      <c r="I269" s="21">
        <f>G269*AN269</f>
        <v>0</v>
      </c>
      <c r="J269" s="21">
        <f>G269*AO269</f>
        <v>0</v>
      </c>
      <c r="K269" s="21">
        <f t="shared" si="121"/>
        <v>0</v>
      </c>
      <c r="L269" s="5"/>
      <c r="Y269" s="37">
        <f t="shared" si="122"/>
        <v>0</v>
      </c>
      <c r="AA269" s="37">
        <f t="shared" si="123"/>
        <v>0</v>
      </c>
      <c r="AB269" s="37">
        <f t="shared" si="124"/>
        <v>0</v>
      </c>
      <c r="AC269" s="37">
        <f t="shared" si="125"/>
        <v>0</v>
      </c>
      <c r="AD269" s="37">
        <f t="shared" si="126"/>
        <v>0</v>
      </c>
      <c r="AE269" s="37">
        <f t="shared" si="127"/>
        <v>0</v>
      </c>
      <c r="AF269" s="37">
        <f t="shared" si="128"/>
        <v>0</v>
      </c>
      <c r="AG269" s="37">
        <f t="shared" si="129"/>
        <v>0</v>
      </c>
      <c r="AH269" s="36"/>
      <c r="AI269" s="21">
        <f>IF(AM269=0,K269,0)</f>
        <v>0</v>
      </c>
      <c r="AJ269" s="21">
        <f>IF(AM269=15,K269,0)</f>
        <v>0</v>
      </c>
      <c r="AK269" s="21">
        <f>IF(AM269=21,K269,0)</f>
        <v>0</v>
      </c>
      <c r="AM269" s="37">
        <v>21</v>
      </c>
      <c r="AN269" s="37">
        <f>H269*0.459259259259259</f>
        <v>0</v>
      </c>
      <c r="AO269" s="37">
        <f>H269*(1-0.459259259259259)</f>
        <v>0</v>
      </c>
      <c r="AP269" s="38" t="s">
        <v>13</v>
      </c>
      <c r="AU269" s="37">
        <f t="shared" si="130"/>
        <v>0</v>
      </c>
      <c r="AV269" s="37">
        <f>G269*AN269</f>
        <v>0</v>
      </c>
      <c r="AW269" s="37">
        <f>G269*AO269</f>
        <v>0</v>
      </c>
      <c r="AX269" s="40" t="s">
        <v>1081</v>
      </c>
      <c r="AY269" s="40" t="s">
        <v>1119</v>
      </c>
      <c r="AZ269" s="36" t="s">
        <v>1122</v>
      </c>
      <c r="BB269" s="37">
        <f t="shared" si="131"/>
        <v>0</v>
      </c>
      <c r="BC269" s="37">
        <f>H269/(100-BD269)*100</f>
        <v>0</v>
      </c>
      <c r="BD269" s="37">
        <v>0</v>
      </c>
      <c r="BE269" s="37">
        <f>269</f>
        <v>269</v>
      </c>
      <c r="BG269" s="21">
        <f>G269*AN269</f>
        <v>0</v>
      </c>
      <c r="BH269" s="21">
        <f>G269*AO269</f>
        <v>0</v>
      </c>
      <c r="BI269" s="21">
        <f>G269*H269</f>
        <v>0</v>
      </c>
      <c r="BJ269" s="21" t="s">
        <v>1127</v>
      </c>
      <c r="BK269" s="37">
        <v>783</v>
      </c>
    </row>
    <row r="270" spans="1:63" x14ac:dyDescent="0.25">
      <c r="A270" s="6"/>
      <c r="B270" s="15" t="s">
        <v>102</v>
      </c>
      <c r="C270" s="121" t="s">
        <v>878</v>
      </c>
      <c r="D270" s="122"/>
      <c r="E270" s="122"/>
      <c r="F270" s="19" t="s">
        <v>6</v>
      </c>
      <c r="G270" s="19" t="s">
        <v>6</v>
      </c>
      <c r="H270" s="19" t="s">
        <v>6</v>
      </c>
      <c r="I270" s="43">
        <f>SUM(I271:I276)</f>
        <v>0</v>
      </c>
      <c r="J270" s="43">
        <f>SUM(J271:J276)</f>
        <v>0</v>
      </c>
      <c r="K270" s="43">
        <f>SUM(K271:K276)</f>
        <v>0</v>
      </c>
      <c r="L270" s="5"/>
      <c r="AH270" s="36"/>
      <c r="AR270" s="43">
        <f>SUM(AI271:AI276)</f>
        <v>0</v>
      </c>
      <c r="AS270" s="43">
        <f>SUM(AJ271:AJ276)</f>
        <v>0</v>
      </c>
      <c r="AT270" s="43">
        <f>SUM(AK271:AK276)</f>
        <v>0</v>
      </c>
    </row>
    <row r="271" spans="1:63" x14ac:dyDescent="0.25">
      <c r="A271" s="4" t="s">
        <v>193</v>
      </c>
      <c r="B271" s="14" t="s">
        <v>493</v>
      </c>
      <c r="C271" s="117" t="s">
        <v>879</v>
      </c>
      <c r="D271" s="118"/>
      <c r="E271" s="118"/>
      <c r="F271" s="14" t="s">
        <v>1021</v>
      </c>
      <c r="G271" s="21">
        <v>0.7</v>
      </c>
      <c r="H271" s="21">
        <v>0</v>
      </c>
      <c r="I271" s="21">
        <f>G271*AN271</f>
        <v>0</v>
      </c>
      <c r="J271" s="21">
        <f>G271*AO271</f>
        <v>0</v>
      </c>
      <c r="K271" s="21">
        <f t="shared" ref="K271:K276" si="132">G271*H271</f>
        <v>0</v>
      </c>
      <c r="L271" s="5"/>
      <c r="Y271" s="37">
        <f t="shared" ref="Y271:Y276" si="133">IF(AP271="5",BI271,0)</f>
        <v>0</v>
      </c>
      <c r="AA271" s="37">
        <f t="shared" ref="AA271:AA276" si="134">IF(AP271="1",BG271,0)</f>
        <v>0</v>
      </c>
      <c r="AB271" s="37">
        <f t="shared" ref="AB271:AB276" si="135">IF(AP271="1",BH271,0)</f>
        <v>0</v>
      </c>
      <c r="AC271" s="37">
        <f t="shared" ref="AC271:AC276" si="136">IF(AP271="7",BG271,0)</f>
        <v>0</v>
      </c>
      <c r="AD271" s="37">
        <f t="shared" ref="AD271:AD276" si="137">IF(AP271="7",BH271,0)</f>
        <v>0</v>
      </c>
      <c r="AE271" s="37">
        <f t="shared" ref="AE271:AE276" si="138">IF(AP271="2",BG271,0)</f>
        <v>0</v>
      </c>
      <c r="AF271" s="37">
        <f t="shared" ref="AF271:AF276" si="139">IF(AP271="2",BH271,0)</f>
        <v>0</v>
      </c>
      <c r="AG271" s="37">
        <f t="shared" ref="AG271:AG276" si="140">IF(AP271="0",BI271,0)</f>
        <v>0</v>
      </c>
      <c r="AH271" s="36"/>
      <c r="AI271" s="21">
        <f>IF(AM271=0,K271,0)</f>
        <v>0</v>
      </c>
      <c r="AJ271" s="21">
        <f>IF(AM271=15,K271,0)</f>
        <v>0</v>
      </c>
      <c r="AK271" s="21">
        <f>IF(AM271=21,K271,0)</f>
        <v>0</v>
      </c>
      <c r="AM271" s="37">
        <v>21</v>
      </c>
      <c r="AN271" s="37">
        <f>H271*0</f>
        <v>0</v>
      </c>
      <c r="AO271" s="37">
        <f>H271*(1-0)</f>
        <v>0</v>
      </c>
      <c r="AP271" s="38" t="s">
        <v>7</v>
      </c>
      <c r="AU271" s="37">
        <f t="shared" ref="AU271:AU276" si="141">AV271+AW271</f>
        <v>0</v>
      </c>
      <c r="AV271" s="37">
        <f>G271*AN271</f>
        <v>0</v>
      </c>
      <c r="AW271" s="37">
        <f>G271*AO271</f>
        <v>0</v>
      </c>
      <c r="AX271" s="40" t="s">
        <v>1082</v>
      </c>
      <c r="AY271" s="40" t="s">
        <v>1120</v>
      </c>
      <c r="AZ271" s="36" t="s">
        <v>1122</v>
      </c>
      <c r="BB271" s="37">
        <f t="shared" ref="BB271:BB276" si="142">AV271+AW271</f>
        <v>0</v>
      </c>
      <c r="BC271" s="37">
        <f>H271/(100-BD271)*100</f>
        <v>0</v>
      </c>
      <c r="BD271" s="37">
        <v>0</v>
      </c>
      <c r="BE271" s="37">
        <f>271</f>
        <v>271</v>
      </c>
      <c r="BG271" s="21">
        <f>G271*AN271</f>
        <v>0</v>
      </c>
      <c r="BH271" s="21">
        <f>G271*AO271</f>
        <v>0</v>
      </c>
      <c r="BI271" s="21">
        <f>G271*H271</f>
        <v>0</v>
      </c>
      <c r="BJ271" s="21" t="s">
        <v>1127</v>
      </c>
      <c r="BK271" s="37">
        <v>96</v>
      </c>
    </row>
    <row r="272" spans="1:63" x14ac:dyDescent="0.25">
      <c r="A272" s="4" t="s">
        <v>194</v>
      </c>
      <c r="B272" s="14" t="s">
        <v>494</v>
      </c>
      <c r="C272" s="117" t="s">
        <v>880</v>
      </c>
      <c r="D272" s="118"/>
      <c r="E272" s="118"/>
      <c r="F272" s="14" t="s">
        <v>1023</v>
      </c>
      <c r="G272" s="21">
        <v>1</v>
      </c>
      <c r="H272" s="21">
        <v>0</v>
      </c>
      <c r="I272" s="21">
        <f>G272*AN272</f>
        <v>0</v>
      </c>
      <c r="J272" s="21">
        <f>G272*AO272</f>
        <v>0</v>
      </c>
      <c r="K272" s="21">
        <f t="shared" si="132"/>
        <v>0</v>
      </c>
      <c r="L272" s="5"/>
      <c r="Y272" s="37">
        <f t="shared" si="133"/>
        <v>0</v>
      </c>
      <c r="AA272" s="37">
        <f t="shared" si="134"/>
        <v>0</v>
      </c>
      <c r="AB272" s="37">
        <f t="shared" si="135"/>
        <v>0</v>
      </c>
      <c r="AC272" s="37">
        <f t="shared" si="136"/>
        <v>0</v>
      </c>
      <c r="AD272" s="37">
        <f t="shared" si="137"/>
        <v>0</v>
      </c>
      <c r="AE272" s="37">
        <f t="shared" si="138"/>
        <v>0</v>
      </c>
      <c r="AF272" s="37">
        <f t="shared" si="139"/>
        <v>0</v>
      </c>
      <c r="AG272" s="37">
        <f t="shared" si="140"/>
        <v>0</v>
      </c>
      <c r="AH272" s="36"/>
      <c r="AI272" s="21">
        <f>IF(AM272=0,K272,0)</f>
        <v>0</v>
      </c>
      <c r="AJ272" s="21">
        <f>IF(AM272=15,K272,0)</f>
        <v>0</v>
      </c>
      <c r="AK272" s="21">
        <f>IF(AM272=21,K272,0)</f>
        <v>0</v>
      </c>
      <c r="AM272" s="37">
        <v>21</v>
      </c>
      <c r="AN272" s="37">
        <f>H272*0.190538243626062</f>
        <v>0</v>
      </c>
      <c r="AO272" s="37">
        <f>H272*(1-0.190538243626062)</f>
        <v>0</v>
      </c>
      <c r="AP272" s="38" t="s">
        <v>7</v>
      </c>
      <c r="AU272" s="37">
        <f t="shared" si="141"/>
        <v>0</v>
      </c>
      <c r="AV272" s="37">
        <f>G272*AN272</f>
        <v>0</v>
      </c>
      <c r="AW272" s="37">
        <f>G272*AO272</f>
        <v>0</v>
      </c>
      <c r="AX272" s="40" t="s">
        <v>1082</v>
      </c>
      <c r="AY272" s="40" t="s">
        <v>1120</v>
      </c>
      <c r="AZ272" s="36" t="s">
        <v>1122</v>
      </c>
      <c r="BB272" s="37">
        <f t="shared" si="142"/>
        <v>0</v>
      </c>
      <c r="BC272" s="37">
        <f>H272/(100-BD272)*100</f>
        <v>0</v>
      </c>
      <c r="BD272" s="37">
        <v>0</v>
      </c>
      <c r="BE272" s="37">
        <f>272</f>
        <v>272</v>
      </c>
      <c r="BG272" s="21">
        <f>G272*AN272</f>
        <v>0</v>
      </c>
      <c r="BH272" s="21">
        <f>G272*AO272</f>
        <v>0</v>
      </c>
      <c r="BI272" s="21">
        <f>G272*H272</f>
        <v>0</v>
      </c>
      <c r="BJ272" s="21" t="s">
        <v>1127</v>
      </c>
      <c r="BK272" s="37">
        <v>96</v>
      </c>
    </row>
    <row r="273" spans="1:63" x14ac:dyDescent="0.25">
      <c r="A273" s="4" t="s">
        <v>195</v>
      </c>
      <c r="B273" s="14" t="s">
        <v>495</v>
      </c>
      <c r="C273" s="117" t="s">
        <v>881</v>
      </c>
      <c r="D273" s="118"/>
      <c r="E273" s="118"/>
      <c r="F273" s="14" t="s">
        <v>1021</v>
      </c>
      <c r="G273" s="21">
        <v>1.01</v>
      </c>
      <c r="H273" s="21">
        <v>0</v>
      </c>
      <c r="I273" s="21">
        <f>G273*AN273</f>
        <v>0</v>
      </c>
      <c r="J273" s="21">
        <f>G273*AO273</f>
        <v>0</v>
      </c>
      <c r="K273" s="21">
        <f t="shared" si="132"/>
        <v>0</v>
      </c>
      <c r="L273" s="5"/>
      <c r="Y273" s="37">
        <f t="shared" si="133"/>
        <v>0</v>
      </c>
      <c r="AA273" s="37">
        <f t="shared" si="134"/>
        <v>0</v>
      </c>
      <c r="AB273" s="37">
        <f t="shared" si="135"/>
        <v>0</v>
      </c>
      <c r="AC273" s="37">
        <f t="shared" si="136"/>
        <v>0</v>
      </c>
      <c r="AD273" s="37">
        <f t="shared" si="137"/>
        <v>0</v>
      </c>
      <c r="AE273" s="37">
        <f t="shared" si="138"/>
        <v>0</v>
      </c>
      <c r="AF273" s="37">
        <f t="shared" si="139"/>
        <v>0</v>
      </c>
      <c r="AG273" s="37">
        <f t="shared" si="140"/>
        <v>0</v>
      </c>
      <c r="AH273" s="36"/>
      <c r="AI273" s="21">
        <f>IF(AM273=0,K273,0)</f>
        <v>0</v>
      </c>
      <c r="AJ273" s="21">
        <f>IF(AM273=15,K273,0)</f>
        <v>0</v>
      </c>
      <c r="AK273" s="21">
        <f>IF(AM273=21,K273,0)</f>
        <v>0</v>
      </c>
      <c r="AM273" s="37">
        <v>21</v>
      </c>
      <c r="AN273" s="37">
        <f>H273*0</f>
        <v>0</v>
      </c>
      <c r="AO273" s="37">
        <f>H273*(1-0)</f>
        <v>0</v>
      </c>
      <c r="AP273" s="38" t="s">
        <v>7</v>
      </c>
      <c r="AU273" s="37">
        <f t="shared" si="141"/>
        <v>0</v>
      </c>
      <c r="AV273" s="37">
        <f>G273*AN273</f>
        <v>0</v>
      </c>
      <c r="AW273" s="37">
        <f>G273*AO273</f>
        <v>0</v>
      </c>
      <c r="AX273" s="40" t="s">
        <v>1082</v>
      </c>
      <c r="AY273" s="40" t="s">
        <v>1120</v>
      </c>
      <c r="AZ273" s="36" t="s">
        <v>1122</v>
      </c>
      <c r="BB273" s="37">
        <f t="shared" si="142"/>
        <v>0</v>
      </c>
      <c r="BC273" s="37">
        <f>H273/(100-BD273)*100</f>
        <v>0</v>
      </c>
      <c r="BD273" s="37">
        <v>0</v>
      </c>
      <c r="BE273" s="37">
        <f>273</f>
        <v>273</v>
      </c>
      <c r="BG273" s="21">
        <f>G273*AN273</f>
        <v>0</v>
      </c>
      <c r="BH273" s="21">
        <f>G273*AO273</f>
        <v>0</v>
      </c>
      <c r="BI273" s="21">
        <f>G273*H273</f>
        <v>0</v>
      </c>
      <c r="BJ273" s="21" t="s">
        <v>1127</v>
      </c>
      <c r="BK273" s="37">
        <v>96</v>
      </c>
    </row>
    <row r="274" spans="1:63" x14ac:dyDescent="0.25">
      <c r="A274" s="4" t="s">
        <v>196</v>
      </c>
      <c r="B274" s="14" t="s">
        <v>496</v>
      </c>
      <c r="C274" s="117" t="s">
        <v>882</v>
      </c>
      <c r="D274" s="118"/>
      <c r="E274" s="118"/>
      <c r="F274" s="14" t="s">
        <v>1023</v>
      </c>
      <c r="G274" s="21">
        <v>1.8</v>
      </c>
      <c r="H274" s="21">
        <v>0</v>
      </c>
      <c r="I274" s="21">
        <f>G274*AN274</f>
        <v>0</v>
      </c>
      <c r="J274" s="21">
        <f>G274*AO274</f>
        <v>0</v>
      </c>
      <c r="K274" s="21">
        <f t="shared" si="132"/>
        <v>0</v>
      </c>
      <c r="L274" s="5"/>
      <c r="Y274" s="37">
        <f t="shared" si="133"/>
        <v>0</v>
      </c>
      <c r="AA274" s="37">
        <f t="shared" si="134"/>
        <v>0</v>
      </c>
      <c r="AB274" s="37">
        <f t="shared" si="135"/>
        <v>0</v>
      </c>
      <c r="AC274" s="37">
        <f t="shared" si="136"/>
        <v>0</v>
      </c>
      <c r="AD274" s="37">
        <f t="shared" si="137"/>
        <v>0</v>
      </c>
      <c r="AE274" s="37">
        <f t="shared" si="138"/>
        <v>0</v>
      </c>
      <c r="AF274" s="37">
        <f t="shared" si="139"/>
        <v>0</v>
      </c>
      <c r="AG274" s="37">
        <f t="shared" si="140"/>
        <v>0</v>
      </c>
      <c r="AH274" s="36"/>
      <c r="AI274" s="21">
        <f>IF(AM274=0,K274,0)</f>
        <v>0</v>
      </c>
      <c r="AJ274" s="21">
        <f>IF(AM274=15,K274,0)</f>
        <v>0</v>
      </c>
      <c r="AK274" s="21">
        <f>IF(AM274=21,K274,0)</f>
        <v>0</v>
      </c>
      <c r="AM274" s="37">
        <v>21</v>
      </c>
      <c r="AN274" s="37">
        <f>H274*0.0714159292035398</f>
        <v>0</v>
      </c>
      <c r="AO274" s="37">
        <f>H274*(1-0.0714159292035398)</f>
        <v>0</v>
      </c>
      <c r="AP274" s="38" t="s">
        <v>7</v>
      </c>
      <c r="AU274" s="37">
        <f t="shared" si="141"/>
        <v>0</v>
      </c>
      <c r="AV274" s="37">
        <f>G274*AN274</f>
        <v>0</v>
      </c>
      <c r="AW274" s="37">
        <f>G274*AO274</f>
        <v>0</v>
      </c>
      <c r="AX274" s="40" t="s">
        <v>1082</v>
      </c>
      <c r="AY274" s="40" t="s">
        <v>1120</v>
      </c>
      <c r="AZ274" s="36" t="s">
        <v>1122</v>
      </c>
      <c r="BB274" s="37">
        <f t="shared" si="142"/>
        <v>0</v>
      </c>
      <c r="BC274" s="37">
        <f>H274/(100-BD274)*100</f>
        <v>0</v>
      </c>
      <c r="BD274" s="37">
        <v>0</v>
      </c>
      <c r="BE274" s="37">
        <f>274</f>
        <v>274</v>
      </c>
      <c r="BG274" s="21">
        <f>G274*AN274</f>
        <v>0</v>
      </c>
      <c r="BH274" s="21">
        <f>G274*AO274</f>
        <v>0</v>
      </c>
      <c r="BI274" s="21">
        <f>G274*H274</f>
        <v>0</v>
      </c>
      <c r="BJ274" s="21" t="s">
        <v>1127</v>
      </c>
      <c r="BK274" s="37">
        <v>96</v>
      </c>
    </row>
    <row r="275" spans="1:63" x14ac:dyDescent="0.25">
      <c r="A275" s="4" t="s">
        <v>197</v>
      </c>
      <c r="B275" s="14" t="s">
        <v>497</v>
      </c>
      <c r="C275" s="117" t="s">
        <v>883</v>
      </c>
      <c r="D275" s="118"/>
      <c r="E275" s="118"/>
      <c r="F275" s="14" t="s">
        <v>1021</v>
      </c>
      <c r="G275" s="21">
        <v>0.3</v>
      </c>
      <c r="H275" s="21">
        <v>0</v>
      </c>
      <c r="I275" s="21">
        <f>G275*AN275</f>
        <v>0</v>
      </c>
      <c r="J275" s="21">
        <f>G275*AO275</f>
        <v>0</v>
      </c>
      <c r="K275" s="21">
        <f t="shared" si="132"/>
        <v>0</v>
      </c>
      <c r="L275" s="5"/>
      <c r="Y275" s="37">
        <f t="shared" si="133"/>
        <v>0</v>
      </c>
      <c r="AA275" s="37">
        <f t="shared" si="134"/>
        <v>0</v>
      </c>
      <c r="AB275" s="37">
        <f t="shared" si="135"/>
        <v>0</v>
      </c>
      <c r="AC275" s="37">
        <f t="shared" si="136"/>
        <v>0</v>
      </c>
      <c r="AD275" s="37">
        <f t="shared" si="137"/>
        <v>0</v>
      </c>
      <c r="AE275" s="37">
        <f t="shared" si="138"/>
        <v>0</v>
      </c>
      <c r="AF275" s="37">
        <f t="shared" si="139"/>
        <v>0</v>
      </c>
      <c r="AG275" s="37">
        <f t="shared" si="140"/>
        <v>0</v>
      </c>
      <c r="AH275" s="36"/>
      <c r="AI275" s="21">
        <f>IF(AM275=0,K275,0)</f>
        <v>0</v>
      </c>
      <c r="AJ275" s="21">
        <f>IF(AM275=15,K275,0)</f>
        <v>0</v>
      </c>
      <c r="AK275" s="21">
        <f>IF(AM275=21,K275,0)</f>
        <v>0</v>
      </c>
      <c r="AM275" s="37">
        <v>21</v>
      </c>
      <c r="AN275" s="37">
        <f>H275*0.174657200811359</f>
        <v>0</v>
      </c>
      <c r="AO275" s="37">
        <f>H275*(1-0.174657200811359)</f>
        <v>0</v>
      </c>
      <c r="AP275" s="38" t="s">
        <v>7</v>
      </c>
      <c r="AU275" s="37">
        <f t="shared" si="141"/>
        <v>0</v>
      </c>
      <c r="AV275" s="37">
        <f>G275*AN275</f>
        <v>0</v>
      </c>
      <c r="AW275" s="37">
        <f>G275*AO275</f>
        <v>0</v>
      </c>
      <c r="AX275" s="40" t="s">
        <v>1082</v>
      </c>
      <c r="AY275" s="40" t="s">
        <v>1120</v>
      </c>
      <c r="AZ275" s="36" t="s">
        <v>1122</v>
      </c>
      <c r="BB275" s="37">
        <f t="shared" si="142"/>
        <v>0</v>
      </c>
      <c r="BC275" s="37">
        <f>H275/(100-BD275)*100</f>
        <v>0</v>
      </c>
      <c r="BD275" s="37">
        <v>0</v>
      </c>
      <c r="BE275" s="37">
        <f>275</f>
        <v>275</v>
      </c>
      <c r="BG275" s="21">
        <f>G275*AN275</f>
        <v>0</v>
      </c>
      <c r="BH275" s="21">
        <f>G275*AO275</f>
        <v>0</v>
      </c>
      <c r="BI275" s="21">
        <f>G275*H275</f>
        <v>0</v>
      </c>
      <c r="BJ275" s="21" t="s">
        <v>1127</v>
      </c>
      <c r="BK275" s="37">
        <v>96</v>
      </c>
    </row>
    <row r="276" spans="1:63" x14ac:dyDescent="0.25">
      <c r="A276" s="4" t="s">
        <v>198</v>
      </c>
      <c r="B276" s="14" t="s">
        <v>498</v>
      </c>
      <c r="C276" s="117" t="s">
        <v>884</v>
      </c>
      <c r="D276" s="118"/>
      <c r="E276" s="118"/>
      <c r="F276" s="14" t="s">
        <v>1022</v>
      </c>
      <c r="G276" s="21">
        <v>0.1</v>
      </c>
      <c r="H276" s="21">
        <v>0</v>
      </c>
      <c r="I276" s="21">
        <f>G276*AN276</f>
        <v>0</v>
      </c>
      <c r="J276" s="21">
        <f>G276*AO276</f>
        <v>0</v>
      </c>
      <c r="K276" s="21">
        <f t="shared" si="132"/>
        <v>0</v>
      </c>
      <c r="L276" s="5"/>
      <c r="Y276" s="37">
        <f t="shared" si="133"/>
        <v>0</v>
      </c>
      <c r="AA276" s="37">
        <f t="shared" si="134"/>
        <v>0</v>
      </c>
      <c r="AB276" s="37">
        <f t="shared" si="135"/>
        <v>0</v>
      </c>
      <c r="AC276" s="37">
        <f t="shared" si="136"/>
        <v>0</v>
      </c>
      <c r="AD276" s="37">
        <f t="shared" si="137"/>
        <v>0</v>
      </c>
      <c r="AE276" s="37">
        <f t="shared" si="138"/>
        <v>0</v>
      </c>
      <c r="AF276" s="37">
        <f t="shared" si="139"/>
        <v>0</v>
      </c>
      <c r="AG276" s="37">
        <f t="shared" si="140"/>
        <v>0</v>
      </c>
      <c r="AH276" s="36"/>
      <c r="AI276" s="21">
        <f>IF(AM276=0,K276,0)</f>
        <v>0</v>
      </c>
      <c r="AJ276" s="21">
        <f>IF(AM276=15,K276,0)</f>
        <v>0</v>
      </c>
      <c r="AK276" s="21">
        <f>IF(AM276=21,K276,0)</f>
        <v>0</v>
      </c>
      <c r="AM276" s="37">
        <v>21</v>
      </c>
      <c r="AN276" s="37">
        <f>H276*0.0812164502164502</f>
        <v>0</v>
      </c>
      <c r="AO276" s="37">
        <f>H276*(1-0.0812164502164502)</f>
        <v>0</v>
      </c>
      <c r="AP276" s="38" t="s">
        <v>7</v>
      </c>
      <c r="AU276" s="37">
        <f t="shared" si="141"/>
        <v>0</v>
      </c>
      <c r="AV276" s="37">
        <f>G276*AN276</f>
        <v>0</v>
      </c>
      <c r="AW276" s="37">
        <f>G276*AO276</f>
        <v>0</v>
      </c>
      <c r="AX276" s="40" t="s">
        <v>1082</v>
      </c>
      <c r="AY276" s="40" t="s">
        <v>1120</v>
      </c>
      <c r="AZ276" s="36" t="s">
        <v>1122</v>
      </c>
      <c r="BB276" s="37">
        <f t="shared" si="142"/>
        <v>0</v>
      </c>
      <c r="BC276" s="37">
        <f>H276/(100-BD276)*100</f>
        <v>0</v>
      </c>
      <c r="BD276" s="37">
        <v>0</v>
      </c>
      <c r="BE276" s="37">
        <f>276</f>
        <v>276</v>
      </c>
      <c r="BG276" s="21">
        <f>G276*AN276</f>
        <v>0</v>
      </c>
      <c r="BH276" s="21">
        <f>G276*AO276</f>
        <v>0</v>
      </c>
      <c r="BI276" s="21">
        <f>G276*H276</f>
        <v>0</v>
      </c>
      <c r="BJ276" s="21" t="s">
        <v>1127</v>
      </c>
      <c r="BK276" s="37">
        <v>96</v>
      </c>
    </row>
    <row r="277" spans="1:63" x14ac:dyDescent="0.25">
      <c r="A277" s="6"/>
      <c r="B277" s="15" t="s">
        <v>499</v>
      </c>
      <c r="C277" s="121" t="s">
        <v>885</v>
      </c>
      <c r="D277" s="122"/>
      <c r="E277" s="122"/>
      <c r="F277" s="19" t="s">
        <v>6</v>
      </c>
      <c r="G277" s="19" t="s">
        <v>6</v>
      </c>
      <c r="H277" s="19" t="s">
        <v>6</v>
      </c>
      <c r="I277" s="43">
        <f>SUM(I278:I279)</f>
        <v>0</v>
      </c>
      <c r="J277" s="43">
        <f>SUM(J278:J279)</f>
        <v>0</v>
      </c>
      <c r="K277" s="43">
        <f>SUM(K278:K279)</f>
        <v>0</v>
      </c>
      <c r="L277" s="5"/>
      <c r="AH277" s="36"/>
      <c r="AR277" s="43">
        <f>SUM(AI278:AI279)</f>
        <v>0</v>
      </c>
      <c r="AS277" s="43">
        <f>SUM(AJ278:AJ279)</f>
        <v>0</v>
      </c>
      <c r="AT277" s="43">
        <f>SUM(AK278:AK279)</f>
        <v>0</v>
      </c>
    </row>
    <row r="278" spans="1:63" x14ac:dyDescent="0.25">
      <c r="A278" s="4" t="s">
        <v>199</v>
      </c>
      <c r="B278" s="14" t="s">
        <v>500</v>
      </c>
      <c r="C278" s="117" t="s">
        <v>886</v>
      </c>
      <c r="D278" s="118"/>
      <c r="E278" s="118"/>
      <c r="F278" s="14" t="s">
        <v>1023</v>
      </c>
      <c r="G278" s="21">
        <v>35</v>
      </c>
      <c r="H278" s="21">
        <v>0</v>
      </c>
      <c r="I278" s="21">
        <f>G278*AN278</f>
        <v>0</v>
      </c>
      <c r="J278" s="21">
        <f>G278*AO278</f>
        <v>0</v>
      </c>
      <c r="K278" s="21">
        <f>G278*H278</f>
        <v>0</v>
      </c>
      <c r="L278" s="5"/>
      <c r="Y278" s="37">
        <f>IF(AP278="5",BI278,0)</f>
        <v>0</v>
      </c>
      <c r="AA278" s="37">
        <f>IF(AP278="1",BG278,0)</f>
        <v>0</v>
      </c>
      <c r="AB278" s="37">
        <f>IF(AP278="1",BH278,0)</f>
        <v>0</v>
      </c>
      <c r="AC278" s="37">
        <f>IF(AP278="7",BG278,0)</f>
        <v>0</v>
      </c>
      <c r="AD278" s="37">
        <f>IF(AP278="7",BH278,0)</f>
        <v>0</v>
      </c>
      <c r="AE278" s="37">
        <f>IF(AP278="2",BG278,0)</f>
        <v>0</v>
      </c>
      <c r="AF278" s="37">
        <f>IF(AP278="2",BH278,0)</f>
        <v>0</v>
      </c>
      <c r="AG278" s="37">
        <f>IF(AP278="0",BI278,0)</f>
        <v>0</v>
      </c>
      <c r="AH278" s="36"/>
      <c r="AI278" s="21">
        <f>IF(AM278=0,K278,0)</f>
        <v>0</v>
      </c>
      <c r="AJ278" s="21">
        <f>IF(AM278=15,K278,0)</f>
        <v>0</v>
      </c>
      <c r="AK278" s="21">
        <f>IF(AM278=21,K278,0)</f>
        <v>0</v>
      </c>
      <c r="AM278" s="37">
        <v>21</v>
      </c>
      <c r="AN278" s="37">
        <f>H278*0.602597402597402</f>
        <v>0</v>
      </c>
      <c r="AO278" s="37">
        <f>H278*(1-0.602597402597402)</f>
        <v>0</v>
      </c>
      <c r="AP278" s="38" t="s">
        <v>13</v>
      </c>
      <c r="AU278" s="37">
        <f>AV278+AW278</f>
        <v>0</v>
      </c>
      <c r="AV278" s="37">
        <f>G278*AN278</f>
        <v>0</v>
      </c>
      <c r="AW278" s="37">
        <f>G278*AO278</f>
        <v>0</v>
      </c>
      <c r="AX278" s="40" t="s">
        <v>1083</v>
      </c>
      <c r="AY278" s="40" t="s">
        <v>1119</v>
      </c>
      <c r="AZ278" s="36" t="s">
        <v>1122</v>
      </c>
      <c r="BB278" s="37">
        <f>AV278+AW278</f>
        <v>0</v>
      </c>
      <c r="BC278" s="37">
        <f>H278/(100-BD278)*100</f>
        <v>0</v>
      </c>
      <c r="BD278" s="37">
        <v>0</v>
      </c>
      <c r="BE278" s="37">
        <f>278</f>
        <v>278</v>
      </c>
      <c r="BG278" s="21">
        <f>G278*AN278</f>
        <v>0</v>
      </c>
      <c r="BH278" s="21">
        <f>G278*AO278</f>
        <v>0</v>
      </c>
      <c r="BI278" s="21">
        <f>G278*H278</f>
        <v>0</v>
      </c>
      <c r="BJ278" s="21" t="s">
        <v>1127</v>
      </c>
      <c r="BK278" s="37">
        <v>784</v>
      </c>
    </row>
    <row r="279" spans="1:63" x14ac:dyDescent="0.25">
      <c r="A279" s="4" t="s">
        <v>200</v>
      </c>
      <c r="B279" s="14" t="s">
        <v>501</v>
      </c>
      <c r="C279" s="117" t="s">
        <v>887</v>
      </c>
      <c r="D279" s="118"/>
      <c r="E279" s="118"/>
      <c r="F279" s="14" t="s">
        <v>1023</v>
      </c>
      <c r="G279" s="21">
        <v>97.65</v>
      </c>
      <c r="H279" s="21">
        <v>0</v>
      </c>
      <c r="I279" s="21">
        <f>G279*AN279</f>
        <v>0</v>
      </c>
      <c r="J279" s="21">
        <f>G279*AO279</f>
        <v>0</v>
      </c>
      <c r="K279" s="21">
        <f>G279*H279</f>
        <v>0</v>
      </c>
      <c r="L279" s="5"/>
      <c r="Y279" s="37">
        <f>IF(AP279="5",BI279,0)</f>
        <v>0</v>
      </c>
      <c r="AA279" s="37">
        <f>IF(AP279="1",BG279,0)</f>
        <v>0</v>
      </c>
      <c r="AB279" s="37">
        <f>IF(AP279="1",BH279,0)</f>
        <v>0</v>
      </c>
      <c r="AC279" s="37">
        <f>IF(AP279="7",BG279,0)</f>
        <v>0</v>
      </c>
      <c r="AD279" s="37">
        <f>IF(AP279="7",BH279,0)</f>
        <v>0</v>
      </c>
      <c r="AE279" s="37">
        <f>IF(AP279="2",BG279,0)</f>
        <v>0</v>
      </c>
      <c r="AF279" s="37">
        <f>IF(AP279="2",BH279,0)</f>
        <v>0</v>
      </c>
      <c r="AG279" s="37">
        <f>IF(AP279="0",BI279,0)</f>
        <v>0</v>
      </c>
      <c r="AH279" s="36"/>
      <c r="AI279" s="21">
        <f>IF(AM279=0,K279,0)</f>
        <v>0</v>
      </c>
      <c r="AJ279" s="21">
        <f>IF(AM279=15,K279,0)</f>
        <v>0</v>
      </c>
      <c r="AK279" s="21">
        <f>IF(AM279=21,K279,0)</f>
        <v>0</v>
      </c>
      <c r="AM279" s="37">
        <v>21</v>
      </c>
      <c r="AN279" s="37">
        <f>H279*0.055335846113855</f>
        <v>0</v>
      </c>
      <c r="AO279" s="37">
        <f>H279*(1-0.055335846113855)</f>
        <v>0</v>
      </c>
      <c r="AP279" s="38" t="s">
        <v>13</v>
      </c>
      <c r="AU279" s="37">
        <f>AV279+AW279</f>
        <v>0</v>
      </c>
      <c r="AV279" s="37">
        <f>G279*AN279</f>
        <v>0</v>
      </c>
      <c r="AW279" s="37">
        <f>G279*AO279</f>
        <v>0</v>
      </c>
      <c r="AX279" s="40" t="s">
        <v>1083</v>
      </c>
      <c r="AY279" s="40" t="s">
        <v>1119</v>
      </c>
      <c r="AZ279" s="36" t="s">
        <v>1122</v>
      </c>
      <c r="BB279" s="37">
        <f>AV279+AW279</f>
        <v>0</v>
      </c>
      <c r="BC279" s="37">
        <f>H279/(100-BD279)*100</f>
        <v>0</v>
      </c>
      <c r="BD279" s="37">
        <v>0</v>
      </c>
      <c r="BE279" s="37">
        <f>279</f>
        <v>279</v>
      </c>
      <c r="BG279" s="21">
        <f>G279*AN279</f>
        <v>0</v>
      </c>
      <c r="BH279" s="21">
        <f>G279*AO279</f>
        <v>0</v>
      </c>
      <c r="BI279" s="21">
        <f>G279*H279</f>
        <v>0</v>
      </c>
      <c r="BJ279" s="21" t="s">
        <v>1127</v>
      </c>
      <c r="BK279" s="37">
        <v>784</v>
      </c>
    </row>
    <row r="280" spans="1:63" x14ac:dyDescent="0.25">
      <c r="A280" s="5"/>
      <c r="C280" s="119" t="s">
        <v>888</v>
      </c>
      <c r="D280" s="120"/>
      <c r="E280" s="120"/>
      <c r="G280" s="22">
        <v>97.65</v>
      </c>
      <c r="L280" s="5"/>
    </row>
    <row r="281" spans="1:63" x14ac:dyDescent="0.25">
      <c r="A281" s="6"/>
      <c r="B281" s="15" t="s">
        <v>502</v>
      </c>
      <c r="C281" s="121" t="s">
        <v>889</v>
      </c>
      <c r="D281" s="122"/>
      <c r="E281" s="122"/>
      <c r="F281" s="19" t="s">
        <v>6</v>
      </c>
      <c r="G281" s="19" t="s">
        <v>6</v>
      </c>
      <c r="H281" s="19" t="s">
        <v>6</v>
      </c>
      <c r="I281" s="43">
        <f>SUM(I282:I283)</f>
        <v>0</v>
      </c>
      <c r="J281" s="43">
        <f>SUM(J282:J283)</f>
        <v>0</v>
      </c>
      <c r="K281" s="43">
        <f>SUM(K282:K283)</f>
        <v>0</v>
      </c>
      <c r="L281" s="5"/>
      <c r="AH281" s="36"/>
      <c r="AR281" s="43">
        <f>SUM(AI282:AI283)</f>
        <v>0</v>
      </c>
      <c r="AS281" s="43">
        <f>SUM(AJ282:AJ283)</f>
        <v>0</v>
      </c>
      <c r="AT281" s="43">
        <f>SUM(AK282:AK283)</f>
        <v>0</v>
      </c>
    </row>
    <row r="282" spans="1:63" x14ac:dyDescent="0.25">
      <c r="A282" s="4" t="s">
        <v>201</v>
      </c>
      <c r="B282" s="14" t="s">
        <v>503</v>
      </c>
      <c r="C282" s="117" t="s">
        <v>890</v>
      </c>
      <c r="D282" s="118"/>
      <c r="E282" s="118"/>
      <c r="F282" s="14" t="s">
        <v>1024</v>
      </c>
      <c r="G282" s="21">
        <v>1</v>
      </c>
      <c r="H282" s="21">
        <v>0</v>
      </c>
      <c r="I282" s="21">
        <f>G282*AN282</f>
        <v>0</v>
      </c>
      <c r="J282" s="21">
        <f>G282*AO282</f>
        <v>0</v>
      </c>
      <c r="K282" s="21">
        <f>G282*H282</f>
        <v>0</v>
      </c>
      <c r="L282" s="5"/>
      <c r="Y282" s="37">
        <f>IF(AP282="5",BI282,0)</f>
        <v>0</v>
      </c>
      <c r="AA282" s="37">
        <f>IF(AP282="1",BG282,0)</f>
        <v>0</v>
      </c>
      <c r="AB282" s="37">
        <f>IF(AP282="1",BH282,0)</f>
        <v>0</v>
      </c>
      <c r="AC282" s="37">
        <f>IF(AP282="7",BG282,0)</f>
        <v>0</v>
      </c>
      <c r="AD282" s="37">
        <f>IF(AP282="7",BH282,0)</f>
        <v>0</v>
      </c>
      <c r="AE282" s="37">
        <f>IF(AP282="2",BG282,0)</f>
        <v>0</v>
      </c>
      <c r="AF282" s="37">
        <f>IF(AP282="2",BH282,0)</f>
        <v>0</v>
      </c>
      <c r="AG282" s="37">
        <f>IF(AP282="0",BI282,0)</f>
        <v>0</v>
      </c>
      <c r="AH282" s="36"/>
      <c r="AI282" s="21">
        <f>IF(AM282=0,K282,0)</f>
        <v>0</v>
      </c>
      <c r="AJ282" s="21">
        <f>IF(AM282=15,K282,0)</f>
        <v>0</v>
      </c>
      <c r="AK282" s="21">
        <f>IF(AM282=21,K282,0)</f>
        <v>0</v>
      </c>
      <c r="AM282" s="37">
        <v>21</v>
      </c>
      <c r="AN282" s="37">
        <f>H282*0.882470918572002</f>
        <v>0</v>
      </c>
      <c r="AO282" s="37">
        <f>H282*(1-0.882470918572002)</f>
        <v>0</v>
      </c>
      <c r="AP282" s="38" t="s">
        <v>13</v>
      </c>
      <c r="AU282" s="37">
        <f>AV282+AW282</f>
        <v>0</v>
      </c>
      <c r="AV282" s="37">
        <f>G282*AN282</f>
        <v>0</v>
      </c>
      <c r="AW282" s="37">
        <f>G282*AO282</f>
        <v>0</v>
      </c>
      <c r="AX282" s="40" t="s">
        <v>1084</v>
      </c>
      <c r="AY282" s="40" t="s">
        <v>1121</v>
      </c>
      <c r="AZ282" s="36" t="s">
        <v>1122</v>
      </c>
      <c r="BB282" s="37">
        <f>AV282+AW282</f>
        <v>0</v>
      </c>
      <c r="BC282" s="37">
        <f>H282/(100-BD282)*100</f>
        <v>0</v>
      </c>
      <c r="BD282" s="37">
        <v>0</v>
      </c>
      <c r="BE282" s="37">
        <f>282</f>
        <v>282</v>
      </c>
      <c r="BG282" s="21">
        <f>G282*AN282</f>
        <v>0</v>
      </c>
      <c r="BH282" s="21">
        <f>G282*AO282</f>
        <v>0</v>
      </c>
      <c r="BI282" s="21">
        <f>G282*H282</f>
        <v>0</v>
      </c>
      <c r="BJ282" s="21" t="s">
        <v>1127</v>
      </c>
      <c r="BK282" s="37">
        <v>795</v>
      </c>
    </row>
    <row r="283" spans="1:63" x14ac:dyDescent="0.25">
      <c r="A283" s="4" t="s">
        <v>202</v>
      </c>
      <c r="B283" s="14" t="s">
        <v>503</v>
      </c>
      <c r="C283" s="117" t="s">
        <v>891</v>
      </c>
      <c r="D283" s="118"/>
      <c r="E283" s="118"/>
      <c r="F283" s="14" t="s">
        <v>1024</v>
      </c>
      <c r="G283" s="21">
        <v>2</v>
      </c>
      <c r="H283" s="21">
        <v>0</v>
      </c>
      <c r="I283" s="21">
        <f>G283*AN283</f>
        <v>0</v>
      </c>
      <c r="J283" s="21">
        <f>G283*AO283</f>
        <v>0</v>
      </c>
      <c r="K283" s="21">
        <f>G283*H283</f>
        <v>0</v>
      </c>
      <c r="L283" s="5"/>
      <c r="Y283" s="37">
        <f>IF(AP283="5",BI283,0)</f>
        <v>0</v>
      </c>
      <c r="AA283" s="37">
        <f>IF(AP283="1",BG283,0)</f>
        <v>0</v>
      </c>
      <c r="AB283" s="37">
        <f>IF(AP283="1",BH283,0)</f>
        <v>0</v>
      </c>
      <c r="AC283" s="37">
        <f>IF(AP283="7",BG283,0)</f>
        <v>0</v>
      </c>
      <c r="AD283" s="37">
        <f>IF(AP283="7",BH283,0)</f>
        <v>0</v>
      </c>
      <c r="AE283" s="37">
        <f>IF(AP283="2",BG283,0)</f>
        <v>0</v>
      </c>
      <c r="AF283" s="37">
        <f>IF(AP283="2",BH283,0)</f>
        <v>0</v>
      </c>
      <c r="AG283" s="37">
        <f>IF(AP283="0",BI283,0)</f>
        <v>0</v>
      </c>
      <c r="AH283" s="36"/>
      <c r="AI283" s="21">
        <f>IF(AM283=0,K283,0)</f>
        <v>0</v>
      </c>
      <c r="AJ283" s="21">
        <f>IF(AM283=15,K283,0)</f>
        <v>0</v>
      </c>
      <c r="AK283" s="21">
        <f>IF(AM283=21,K283,0)</f>
        <v>0</v>
      </c>
      <c r="AM283" s="37">
        <v>21</v>
      </c>
      <c r="AN283" s="37">
        <f>H283*0.724186704384724</f>
        <v>0</v>
      </c>
      <c r="AO283" s="37">
        <f>H283*(1-0.724186704384724)</f>
        <v>0</v>
      </c>
      <c r="AP283" s="38" t="s">
        <v>13</v>
      </c>
      <c r="AU283" s="37">
        <f>AV283+AW283</f>
        <v>0</v>
      </c>
      <c r="AV283" s="37">
        <f>G283*AN283</f>
        <v>0</v>
      </c>
      <c r="AW283" s="37">
        <f>G283*AO283</f>
        <v>0</v>
      </c>
      <c r="AX283" s="40" t="s">
        <v>1084</v>
      </c>
      <c r="AY283" s="40" t="s">
        <v>1121</v>
      </c>
      <c r="AZ283" s="36" t="s">
        <v>1122</v>
      </c>
      <c r="BB283" s="37">
        <f>AV283+AW283</f>
        <v>0</v>
      </c>
      <c r="BC283" s="37">
        <f>H283/(100-BD283)*100</f>
        <v>0</v>
      </c>
      <c r="BD283" s="37">
        <v>0</v>
      </c>
      <c r="BE283" s="37">
        <f>283</f>
        <v>283</v>
      </c>
      <c r="BG283" s="21">
        <f>G283*AN283</f>
        <v>0</v>
      </c>
      <c r="BH283" s="21">
        <f>G283*AO283</f>
        <v>0</v>
      </c>
      <c r="BI283" s="21">
        <f>G283*H283</f>
        <v>0</v>
      </c>
      <c r="BJ283" s="21" t="s">
        <v>1127</v>
      </c>
      <c r="BK283" s="37">
        <v>795</v>
      </c>
    </row>
    <row r="284" spans="1:63" x14ac:dyDescent="0.25">
      <c r="A284" s="6"/>
      <c r="B284" s="15" t="s">
        <v>97</v>
      </c>
      <c r="C284" s="121" t="s">
        <v>892</v>
      </c>
      <c r="D284" s="122"/>
      <c r="E284" s="122"/>
      <c r="F284" s="19" t="s">
        <v>6</v>
      </c>
      <c r="G284" s="19" t="s">
        <v>6</v>
      </c>
      <c r="H284" s="19" t="s">
        <v>6</v>
      </c>
      <c r="I284" s="43">
        <f>SUM(I285:I286)</f>
        <v>0</v>
      </c>
      <c r="J284" s="43">
        <f>SUM(J285:J286)</f>
        <v>0</v>
      </c>
      <c r="K284" s="43">
        <f>SUM(K285:K286)</f>
        <v>0</v>
      </c>
      <c r="L284" s="5"/>
      <c r="AH284" s="36"/>
      <c r="AR284" s="43">
        <f>SUM(AI285:AI286)</f>
        <v>0</v>
      </c>
      <c r="AS284" s="43">
        <f>SUM(AJ285:AJ286)</f>
        <v>0</v>
      </c>
      <c r="AT284" s="43">
        <f>SUM(AK285:AK286)</f>
        <v>0</v>
      </c>
    </row>
    <row r="285" spans="1:63" x14ac:dyDescent="0.25">
      <c r="A285" s="4" t="s">
        <v>203</v>
      </c>
      <c r="B285" s="14" t="s">
        <v>504</v>
      </c>
      <c r="C285" s="117" t="s">
        <v>893</v>
      </c>
      <c r="D285" s="118"/>
      <c r="E285" s="118"/>
      <c r="F285" s="14" t="s">
        <v>1026</v>
      </c>
      <c r="G285" s="21">
        <v>31</v>
      </c>
      <c r="H285" s="21">
        <v>0</v>
      </c>
      <c r="I285" s="21">
        <f>G285*AN285</f>
        <v>0</v>
      </c>
      <c r="J285" s="21">
        <f>G285*AO285</f>
        <v>0</v>
      </c>
      <c r="K285" s="21">
        <f>G285*H285</f>
        <v>0</v>
      </c>
      <c r="L285" s="5"/>
      <c r="Y285" s="37">
        <f>IF(AP285="5",BI285,0)</f>
        <v>0</v>
      </c>
      <c r="AA285" s="37">
        <f>IF(AP285="1",BG285,0)</f>
        <v>0</v>
      </c>
      <c r="AB285" s="37">
        <f>IF(AP285="1",BH285,0)</f>
        <v>0</v>
      </c>
      <c r="AC285" s="37">
        <f>IF(AP285="7",BG285,0)</f>
        <v>0</v>
      </c>
      <c r="AD285" s="37">
        <f>IF(AP285="7",BH285,0)</f>
        <v>0</v>
      </c>
      <c r="AE285" s="37">
        <f>IF(AP285="2",BG285,0)</f>
        <v>0</v>
      </c>
      <c r="AF285" s="37">
        <f>IF(AP285="2",BH285,0)</f>
        <v>0</v>
      </c>
      <c r="AG285" s="37">
        <f>IF(AP285="0",BI285,0)</f>
        <v>0</v>
      </c>
      <c r="AH285" s="36"/>
      <c r="AI285" s="21">
        <f>IF(AM285=0,K285,0)</f>
        <v>0</v>
      </c>
      <c r="AJ285" s="21">
        <f>IF(AM285=15,K285,0)</f>
        <v>0</v>
      </c>
      <c r="AK285" s="21">
        <f>IF(AM285=21,K285,0)</f>
        <v>0</v>
      </c>
      <c r="AM285" s="37">
        <v>21</v>
      </c>
      <c r="AN285" s="37">
        <f>H285*0.462596116251792</f>
        <v>0</v>
      </c>
      <c r="AO285" s="37">
        <f>H285*(1-0.462596116251792)</f>
        <v>0</v>
      </c>
      <c r="AP285" s="38" t="s">
        <v>7</v>
      </c>
      <c r="AU285" s="37">
        <f>AV285+AW285</f>
        <v>0</v>
      </c>
      <c r="AV285" s="37">
        <f>G285*AN285</f>
        <v>0</v>
      </c>
      <c r="AW285" s="37">
        <f>G285*AO285</f>
        <v>0</v>
      </c>
      <c r="AX285" s="40" t="s">
        <v>1085</v>
      </c>
      <c r="AY285" s="40" t="s">
        <v>1120</v>
      </c>
      <c r="AZ285" s="36" t="s">
        <v>1122</v>
      </c>
      <c r="BB285" s="37">
        <f>AV285+AW285</f>
        <v>0</v>
      </c>
      <c r="BC285" s="37">
        <f>H285/(100-BD285)*100</f>
        <v>0</v>
      </c>
      <c r="BD285" s="37">
        <v>0</v>
      </c>
      <c r="BE285" s="37">
        <f>285</f>
        <v>285</v>
      </c>
      <c r="BG285" s="21">
        <f>G285*AN285</f>
        <v>0</v>
      </c>
      <c r="BH285" s="21">
        <f>G285*AO285</f>
        <v>0</v>
      </c>
      <c r="BI285" s="21">
        <f>G285*H285</f>
        <v>0</v>
      </c>
      <c r="BJ285" s="21" t="s">
        <v>1127</v>
      </c>
      <c r="BK285" s="37">
        <v>91</v>
      </c>
    </row>
    <row r="286" spans="1:63" x14ac:dyDescent="0.25">
      <c r="A286" s="7" t="s">
        <v>204</v>
      </c>
      <c r="B286" s="16" t="s">
        <v>505</v>
      </c>
      <c r="C286" s="123" t="s">
        <v>894</v>
      </c>
      <c r="D286" s="124"/>
      <c r="E286" s="124"/>
      <c r="F286" s="16" t="s">
        <v>1024</v>
      </c>
      <c r="G286" s="23">
        <v>31</v>
      </c>
      <c r="H286" s="23">
        <v>0</v>
      </c>
      <c r="I286" s="23">
        <f>G286*AN286</f>
        <v>0</v>
      </c>
      <c r="J286" s="23">
        <f>G286*AO286</f>
        <v>0</v>
      </c>
      <c r="K286" s="23">
        <f>G286*H286</f>
        <v>0</v>
      </c>
      <c r="L286" s="5"/>
      <c r="Y286" s="37">
        <f>IF(AP286="5",BI286,0)</f>
        <v>0</v>
      </c>
      <c r="AA286" s="37">
        <f>IF(AP286="1",BG286,0)</f>
        <v>0</v>
      </c>
      <c r="AB286" s="37">
        <f>IF(AP286="1",BH286,0)</f>
        <v>0</v>
      </c>
      <c r="AC286" s="37">
        <f>IF(AP286="7",BG286,0)</f>
        <v>0</v>
      </c>
      <c r="AD286" s="37">
        <f>IF(AP286="7",BH286,0)</f>
        <v>0</v>
      </c>
      <c r="AE286" s="37">
        <f>IF(AP286="2",BG286,0)</f>
        <v>0</v>
      </c>
      <c r="AF286" s="37">
        <f>IF(AP286="2",BH286,0)</f>
        <v>0</v>
      </c>
      <c r="AG286" s="37">
        <f>IF(AP286="0",BI286,0)</f>
        <v>0</v>
      </c>
      <c r="AH286" s="36"/>
      <c r="AI286" s="23">
        <f>IF(AM286=0,K286,0)</f>
        <v>0</v>
      </c>
      <c r="AJ286" s="23">
        <f>IF(AM286=15,K286,0)</f>
        <v>0</v>
      </c>
      <c r="AK286" s="23">
        <f>IF(AM286=21,K286,0)</f>
        <v>0</v>
      </c>
      <c r="AM286" s="37">
        <v>21</v>
      </c>
      <c r="AN286" s="37">
        <f>H286*1</f>
        <v>0</v>
      </c>
      <c r="AO286" s="37">
        <f>H286*(1-1)</f>
        <v>0</v>
      </c>
      <c r="AP286" s="39" t="s">
        <v>7</v>
      </c>
      <c r="AU286" s="37">
        <f>AV286+AW286</f>
        <v>0</v>
      </c>
      <c r="AV286" s="37">
        <f>G286*AN286</f>
        <v>0</v>
      </c>
      <c r="AW286" s="37">
        <f>G286*AO286</f>
        <v>0</v>
      </c>
      <c r="AX286" s="40" t="s">
        <v>1085</v>
      </c>
      <c r="AY286" s="40" t="s">
        <v>1120</v>
      </c>
      <c r="AZ286" s="36" t="s">
        <v>1122</v>
      </c>
      <c r="BB286" s="37">
        <f>AV286+AW286</f>
        <v>0</v>
      </c>
      <c r="BC286" s="37">
        <f>H286/(100-BD286)*100</f>
        <v>0</v>
      </c>
      <c r="BD286" s="37">
        <v>0</v>
      </c>
      <c r="BE286" s="37">
        <f>286</f>
        <v>286</v>
      </c>
      <c r="BG286" s="23">
        <f>G286*AN286</f>
        <v>0</v>
      </c>
      <c r="BH286" s="23">
        <f>G286*AO286</f>
        <v>0</v>
      </c>
      <c r="BI286" s="23">
        <f>G286*H286</f>
        <v>0</v>
      </c>
      <c r="BJ286" s="23" t="s">
        <v>1128</v>
      </c>
      <c r="BK286" s="37">
        <v>91</v>
      </c>
    </row>
    <row r="287" spans="1:63" x14ac:dyDescent="0.25">
      <c r="A287" s="6"/>
      <c r="B287" s="15" t="s">
        <v>99</v>
      </c>
      <c r="C287" s="121" t="s">
        <v>895</v>
      </c>
      <c r="D287" s="122"/>
      <c r="E287" s="122"/>
      <c r="F287" s="19" t="s">
        <v>6</v>
      </c>
      <c r="G287" s="19" t="s">
        <v>6</v>
      </c>
      <c r="H287" s="19" t="s">
        <v>6</v>
      </c>
      <c r="I287" s="43">
        <f>SUM(I288:I290)</f>
        <v>0</v>
      </c>
      <c r="J287" s="43">
        <f>SUM(J288:J290)</f>
        <v>0</v>
      </c>
      <c r="K287" s="43">
        <f>SUM(K288:K290)</f>
        <v>0</v>
      </c>
      <c r="L287" s="5"/>
      <c r="AH287" s="36"/>
      <c r="AR287" s="43">
        <f>SUM(AI288:AI290)</f>
        <v>0</v>
      </c>
      <c r="AS287" s="43">
        <f>SUM(AJ288:AJ290)</f>
        <v>0</v>
      </c>
      <c r="AT287" s="43">
        <f>SUM(AK288:AK290)</f>
        <v>0</v>
      </c>
    </row>
    <row r="288" spans="1:63" x14ac:dyDescent="0.25">
      <c r="A288" s="4" t="s">
        <v>205</v>
      </c>
      <c r="B288" s="14" t="s">
        <v>506</v>
      </c>
      <c r="C288" s="117" t="s">
        <v>896</v>
      </c>
      <c r="D288" s="118"/>
      <c r="E288" s="118"/>
      <c r="F288" s="14" t="s">
        <v>1024</v>
      </c>
      <c r="G288" s="21">
        <v>2</v>
      </c>
      <c r="H288" s="21">
        <v>0</v>
      </c>
      <c r="I288" s="21">
        <f>G288*AN288</f>
        <v>0</v>
      </c>
      <c r="J288" s="21">
        <f>G288*AO288</f>
        <v>0</v>
      </c>
      <c r="K288" s="21">
        <f>G288*H288</f>
        <v>0</v>
      </c>
      <c r="L288" s="5"/>
      <c r="Y288" s="37">
        <f>IF(AP288="5",BI288,0)</f>
        <v>0</v>
      </c>
      <c r="AA288" s="37">
        <f>IF(AP288="1",BG288,0)</f>
        <v>0</v>
      </c>
      <c r="AB288" s="37">
        <f>IF(AP288="1",BH288,0)</f>
        <v>0</v>
      </c>
      <c r="AC288" s="37">
        <f>IF(AP288="7",BG288,0)</f>
        <v>0</v>
      </c>
      <c r="AD288" s="37">
        <f>IF(AP288="7",BH288,0)</f>
        <v>0</v>
      </c>
      <c r="AE288" s="37">
        <f>IF(AP288="2",BG288,0)</f>
        <v>0</v>
      </c>
      <c r="AF288" s="37">
        <f>IF(AP288="2",BH288,0)</f>
        <v>0</v>
      </c>
      <c r="AG288" s="37">
        <f>IF(AP288="0",BI288,0)</f>
        <v>0</v>
      </c>
      <c r="AH288" s="36"/>
      <c r="AI288" s="21">
        <f>IF(AM288=0,K288,0)</f>
        <v>0</v>
      </c>
      <c r="AJ288" s="21">
        <f>IF(AM288=15,K288,0)</f>
        <v>0</v>
      </c>
      <c r="AK288" s="21">
        <f>IF(AM288=21,K288,0)</f>
        <v>0</v>
      </c>
      <c r="AM288" s="37">
        <v>21</v>
      </c>
      <c r="AN288" s="37">
        <f>H288*0.0111862396204033</f>
        <v>0</v>
      </c>
      <c r="AO288" s="37">
        <f>H288*(1-0.0111862396204033)</f>
        <v>0</v>
      </c>
      <c r="AP288" s="38" t="s">
        <v>7</v>
      </c>
      <c r="AU288" s="37">
        <f>AV288+AW288</f>
        <v>0</v>
      </c>
      <c r="AV288" s="37">
        <f>G288*AN288</f>
        <v>0</v>
      </c>
      <c r="AW288" s="37">
        <f>G288*AO288</f>
        <v>0</v>
      </c>
      <c r="AX288" s="40" t="s">
        <v>1086</v>
      </c>
      <c r="AY288" s="40" t="s">
        <v>1120</v>
      </c>
      <c r="AZ288" s="36" t="s">
        <v>1122</v>
      </c>
      <c r="BB288" s="37">
        <f>AV288+AW288</f>
        <v>0</v>
      </c>
      <c r="BC288" s="37">
        <f>H288/(100-BD288)*100</f>
        <v>0</v>
      </c>
      <c r="BD288" s="37">
        <v>0</v>
      </c>
      <c r="BE288" s="37">
        <f>288</f>
        <v>288</v>
      </c>
      <c r="BG288" s="21">
        <f>G288*AN288</f>
        <v>0</v>
      </c>
      <c r="BH288" s="21">
        <f>G288*AO288</f>
        <v>0</v>
      </c>
      <c r="BI288" s="21">
        <f>G288*H288</f>
        <v>0</v>
      </c>
      <c r="BJ288" s="21" t="s">
        <v>1127</v>
      </c>
      <c r="BK288" s="37">
        <v>93</v>
      </c>
    </row>
    <row r="289" spans="1:63" x14ac:dyDescent="0.25">
      <c r="A289" s="4" t="s">
        <v>206</v>
      </c>
      <c r="B289" s="14" t="s">
        <v>507</v>
      </c>
      <c r="C289" s="117" t="s">
        <v>897</v>
      </c>
      <c r="D289" s="118"/>
      <c r="E289" s="118"/>
      <c r="F289" s="14" t="s">
        <v>1024</v>
      </c>
      <c r="G289" s="21">
        <v>2</v>
      </c>
      <c r="H289" s="21">
        <v>0</v>
      </c>
      <c r="I289" s="21">
        <f>G289*AN289</f>
        <v>0</v>
      </c>
      <c r="J289" s="21">
        <f>G289*AO289</f>
        <v>0</v>
      </c>
      <c r="K289" s="21">
        <f>G289*H289</f>
        <v>0</v>
      </c>
      <c r="L289" s="5"/>
      <c r="Y289" s="37">
        <f>IF(AP289="5",BI289,0)</f>
        <v>0</v>
      </c>
      <c r="AA289" s="37">
        <f>IF(AP289="1",BG289,0)</f>
        <v>0</v>
      </c>
      <c r="AB289" s="37">
        <f>IF(AP289="1",BH289,0)</f>
        <v>0</v>
      </c>
      <c r="AC289" s="37">
        <f>IF(AP289="7",BG289,0)</f>
        <v>0</v>
      </c>
      <c r="AD289" s="37">
        <f>IF(AP289="7",BH289,0)</f>
        <v>0</v>
      </c>
      <c r="AE289" s="37">
        <f>IF(AP289="2",BG289,0)</f>
        <v>0</v>
      </c>
      <c r="AF289" s="37">
        <f>IF(AP289="2",BH289,0)</f>
        <v>0</v>
      </c>
      <c r="AG289" s="37">
        <f>IF(AP289="0",BI289,0)</f>
        <v>0</v>
      </c>
      <c r="AH289" s="36"/>
      <c r="AI289" s="21">
        <f>IF(AM289=0,K289,0)</f>
        <v>0</v>
      </c>
      <c r="AJ289" s="21">
        <f>IF(AM289=15,K289,0)</f>
        <v>0</v>
      </c>
      <c r="AK289" s="21">
        <f>IF(AM289=21,K289,0)</f>
        <v>0</v>
      </c>
      <c r="AM289" s="37">
        <v>21</v>
      </c>
      <c r="AN289" s="37">
        <f>H289*0.0756161971830986</f>
        <v>0</v>
      </c>
      <c r="AO289" s="37">
        <f>H289*(1-0.0756161971830986)</f>
        <v>0</v>
      </c>
      <c r="AP289" s="38" t="s">
        <v>7</v>
      </c>
      <c r="AU289" s="37">
        <f>AV289+AW289</f>
        <v>0</v>
      </c>
      <c r="AV289" s="37">
        <f>G289*AN289</f>
        <v>0</v>
      </c>
      <c r="AW289" s="37">
        <f>G289*AO289</f>
        <v>0</v>
      </c>
      <c r="AX289" s="40" t="s">
        <v>1086</v>
      </c>
      <c r="AY289" s="40" t="s">
        <v>1120</v>
      </c>
      <c r="AZ289" s="36" t="s">
        <v>1122</v>
      </c>
      <c r="BB289" s="37">
        <f>AV289+AW289</f>
        <v>0</v>
      </c>
      <c r="BC289" s="37">
        <f>H289/(100-BD289)*100</f>
        <v>0</v>
      </c>
      <c r="BD289" s="37">
        <v>0</v>
      </c>
      <c r="BE289" s="37">
        <f>289</f>
        <v>289</v>
      </c>
      <c r="BG289" s="21">
        <f>G289*AN289</f>
        <v>0</v>
      </c>
      <c r="BH289" s="21">
        <f>G289*AO289</f>
        <v>0</v>
      </c>
      <c r="BI289" s="21">
        <f>G289*H289</f>
        <v>0</v>
      </c>
      <c r="BJ289" s="21" t="s">
        <v>1127</v>
      </c>
      <c r="BK289" s="37">
        <v>93</v>
      </c>
    </row>
    <row r="290" spans="1:63" x14ac:dyDescent="0.25">
      <c r="A290" s="4" t="s">
        <v>207</v>
      </c>
      <c r="B290" s="14" t="s">
        <v>508</v>
      </c>
      <c r="C290" s="117" t="s">
        <v>898</v>
      </c>
      <c r="D290" s="118"/>
      <c r="E290" s="118"/>
      <c r="F290" s="14" t="s">
        <v>1024</v>
      </c>
      <c r="G290" s="21">
        <v>2</v>
      </c>
      <c r="H290" s="21">
        <v>0</v>
      </c>
      <c r="I290" s="21">
        <f>G290*AN290</f>
        <v>0</v>
      </c>
      <c r="J290" s="21">
        <f>G290*AO290</f>
        <v>0</v>
      </c>
      <c r="K290" s="21">
        <f>G290*H290</f>
        <v>0</v>
      </c>
      <c r="L290" s="5"/>
      <c r="Y290" s="37">
        <f>IF(AP290="5",BI290,0)</f>
        <v>0</v>
      </c>
      <c r="AA290" s="37">
        <f>IF(AP290="1",BG290,0)</f>
        <v>0</v>
      </c>
      <c r="AB290" s="37">
        <f>IF(AP290="1",BH290,0)</f>
        <v>0</v>
      </c>
      <c r="AC290" s="37">
        <f>IF(AP290="7",BG290,0)</f>
        <v>0</v>
      </c>
      <c r="AD290" s="37">
        <f>IF(AP290="7",BH290,0)</f>
        <v>0</v>
      </c>
      <c r="AE290" s="37">
        <f>IF(AP290="2",BG290,0)</f>
        <v>0</v>
      </c>
      <c r="AF290" s="37">
        <f>IF(AP290="2",BH290,0)</f>
        <v>0</v>
      </c>
      <c r="AG290" s="37">
        <f>IF(AP290="0",BI290,0)</f>
        <v>0</v>
      </c>
      <c r="AH290" s="36"/>
      <c r="AI290" s="21">
        <f>IF(AM290=0,K290,0)</f>
        <v>0</v>
      </c>
      <c r="AJ290" s="21">
        <f>IF(AM290=15,K290,0)</f>
        <v>0</v>
      </c>
      <c r="AK290" s="21">
        <f>IF(AM290=21,K290,0)</f>
        <v>0</v>
      </c>
      <c r="AM290" s="37">
        <v>21</v>
      </c>
      <c r="AN290" s="37">
        <f>H290*0.0613928571428571</f>
        <v>0</v>
      </c>
      <c r="AO290" s="37">
        <f>H290*(1-0.0613928571428571)</f>
        <v>0</v>
      </c>
      <c r="AP290" s="38" t="s">
        <v>7</v>
      </c>
      <c r="AU290" s="37">
        <f>AV290+AW290</f>
        <v>0</v>
      </c>
      <c r="AV290" s="37">
        <f>G290*AN290</f>
        <v>0</v>
      </c>
      <c r="AW290" s="37">
        <f>G290*AO290</f>
        <v>0</v>
      </c>
      <c r="AX290" s="40" t="s">
        <v>1086</v>
      </c>
      <c r="AY290" s="40" t="s">
        <v>1120</v>
      </c>
      <c r="AZ290" s="36" t="s">
        <v>1122</v>
      </c>
      <c r="BB290" s="37">
        <f>AV290+AW290</f>
        <v>0</v>
      </c>
      <c r="BC290" s="37">
        <f>H290/(100-BD290)*100</f>
        <v>0</v>
      </c>
      <c r="BD290" s="37">
        <v>0</v>
      </c>
      <c r="BE290" s="37">
        <f>290</f>
        <v>290</v>
      </c>
      <c r="BG290" s="21">
        <f>G290*AN290</f>
        <v>0</v>
      </c>
      <c r="BH290" s="21">
        <f>G290*AO290</f>
        <v>0</v>
      </c>
      <c r="BI290" s="21">
        <f>G290*H290</f>
        <v>0</v>
      </c>
      <c r="BJ290" s="21" t="s">
        <v>1127</v>
      </c>
      <c r="BK290" s="37">
        <v>93</v>
      </c>
    </row>
    <row r="291" spans="1:63" x14ac:dyDescent="0.25">
      <c r="A291" s="6"/>
      <c r="B291" s="15" t="s">
        <v>103</v>
      </c>
      <c r="C291" s="121" t="s">
        <v>899</v>
      </c>
      <c r="D291" s="122"/>
      <c r="E291" s="122"/>
      <c r="F291" s="19" t="s">
        <v>6</v>
      </c>
      <c r="G291" s="19" t="s">
        <v>6</v>
      </c>
      <c r="H291" s="19" t="s">
        <v>6</v>
      </c>
      <c r="I291" s="43">
        <f>SUM(I292:I296)</f>
        <v>0</v>
      </c>
      <c r="J291" s="43">
        <f>SUM(J292:J296)</f>
        <v>0</v>
      </c>
      <c r="K291" s="43">
        <f>SUM(K292:K296)</f>
        <v>0</v>
      </c>
      <c r="L291" s="5"/>
      <c r="AH291" s="36"/>
      <c r="AR291" s="43">
        <f>SUM(AI292:AI296)</f>
        <v>0</v>
      </c>
      <c r="AS291" s="43">
        <f>SUM(AJ292:AJ296)</f>
        <v>0</v>
      </c>
      <c r="AT291" s="43">
        <f>SUM(AK292:AK296)</f>
        <v>0</v>
      </c>
    </row>
    <row r="292" spans="1:63" x14ac:dyDescent="0.25">
      <c r="A292" s="4" t="s">
        <v>208</v>
      </c>
      <c r="B292" s="14" t="s">
        <v>509</v>
      </c>
      <c r="C292" s="117" t="s">
        <v>900</v>
      </c>
      <c r="D292" s="118"/>
      <c r="E292" s="118"/>
      <c r="F292" s="14" t="s">
        <v>1024</v>
      </c>
      <c r="G292" s="21">
        <v>3</v>
      </c>
      <c r="H292" s="21">
        <v>0</v>
      </c>
      <c r="I292" s="21">
        <f>G292*AN292</f>
        <v>0</v>
      </c>
      <c r="J292" s="21">
        <f>G292*AO292</f>
        <v>0</v>
      </c>
      <c r="K292" s="21">
        <f>G292*H292</f>
        <v>0</v>
      </c>
      <c r="L292" s="5"/>
      <c r="Y292" s="37">
        <f>IF(AP292="5",BI292,0)</f>
        <v>0</v>
      </c>
      <c r="AA292" s="37">
        <f>IF(AP292="1",BG292,0)</f>
        <v>0</v>
      </c>
      <c r="AB292" s="37">
        <f>IF(AP292="1",BH292,0)</f>
        <v>0</v>
      </c>
      <c r="AC292" s="37">
        <f>IF(AP292="7",BG292,0)</f>
        <v>0</v>
      </c>
      <c r="AD292" s="37">
        <f>IF(AP292="7",BH292,0)</f>
        <v>0</v>
      </c>
      <c r="AE292" s="37">
        <f>IF(AP292="2",BG292,0)</f>
        <v>0</v>
      </c>
      <c r="AF292" s="37">
        <f>IF(AP292="2",BH292,0)</f>
        <v>0</v>
      </c>
      <c r="AG292" s="37">
        <f>IF(AP292="0",BI292,0)</f>
        <v>0</v>
      </c>
      <c r="AH292" s="36"/>
      <c r="AI292" s="21">
        <f>IF(AM292=0,K292,0)</f>
        <v>0</v>
      </c>
      <c r="AJ292" s="21">
        <f>IF(AM292=15,K292,0)</f>
        <v>0</v>
      </c>
      <c r="AK292" s="21">
        <f>IF(AM292=21,K292,0)</f>
        <v>0</v>
      </c>
      <c r="AM292" s="37">
        <v>21</v>
      </c>
      <c r="AN292" s="37">
        <f>H292*0</f>
        <v>0</v>
      </c>
      <c r="AO292" s="37">
        <f>H292*(1-0)</f>
        <v>0</v>
      </c>
      <c r="AP292" s="38" t="s">
        <v>7</v>
      </c>
      <c r="AU292" s="37">
        <f>AV292+AW292</f>
        <v>0</v>
      </c>
      <c r="AV292" s="37">
        <f>G292*AN292</f>
        <v>0</v>
      </c>
      <c r="AW292" s="37">
        <f>G292*AO292</f>
        <v>0</v>
      </c>
      <c r="AX292" s="40" t="s">
        <v>1087</v>
      </c>
      <c r="AY292" s="40" t="s">
        <v>1120</v>
      </c>
      <c r="AZ292" s="36" t="s">
        <v>1122</v>
      </c>
      <c r="BB292" s="37">
        <f>AV292+AW292</f>
        <v>0</v>
      </c>
      <c r="BC292" s="37">
        <f>H292/(100-BD292)*100</f>
        <v>0</v>
      </c>
      <c r="BD292" s="37">
        <v>0</v>
      </c>
      <c r="BE292" s="37">
        <f>292</f>
        <v>292</v>
      </c>
      <c r="BG292" s="21">
        <f>G292*AN292</f>
        <v>0</v>
      </c>
      <c r="BH292" s="21">
        <f>G292*AO292</f>
        <v>0</v>
      </c>
      <c r="BI292" s="21">
        <f>G292*H292</f>
        <v>0</v>
      </c>
      <c r="BJ292" s="21" t="s">
        <v>1127</v>
      </c>
      <c r="BK292" s="37">
        <v>97</v>
      </c>
    </row>
    <row r="293" spans="1:63" x14ac:dyDescent="0.25">
      <c r="A293" s="4" t="s">
        <v>209</v>
      </c>
      <c r="B293" s="14" t="s">
        <v>510</v>
      </c>
      <c r="C293" s="117" t="s">
        <v>901</v>
      </c>
      <c r="D293" s="118"/>
      <c r="E293" s="118"/>
      <c r="F293" s="14" t="s">
        <v>1024</v>
      </c>
      <c r="G293" s="21">
        <v>4</v>
      </c>
      <c r="H293" s="21">
        <v>0</v>
      </c>
      <c r="I293" s="21">
        <f>G293*AN293</f>
        <v>0</v>
      </c>
      <c r="J293" s="21">
        <f>G293*AO293</f>
        <v>0</v>
      </c>
      <c r="K293" s="21">
        <f>G293*H293</f>
        <v>0</v>
      </c>
      <c r="L293" s="5"/>
      <c r="Y293" s="37">
        <f>IF(AP293="5",BI293,0)</f>
        <v>0</v>
      </c>
      <c r="AA293" s="37">
        <f>IF(AP293="1",BG293,0)</f>
        <v>0</v>
      </c>
      <c r="AB293" s="37">
        <f>IF(AP293="1",BH293,0)</f>
        <v>0</v>
      </c>
      <c r="AC293" s="37">
        <f>IF(AP293="7",BG293,0)</f>
        <v>0</v>
      </c>
      <c r="AD293" s="37">
        <f>IF(AP293="7",BH293,0)</f>
        <v>0</v>
      </c>
      <c r="AE293" s="37">
        <f>IF(AP293="2",BG293,0)</f>
        <v>0</v>
      </c>
      <c r="AF293" s="37">
        <f>IF(AP293="2",BH293,0)</f>
        <v>0</v>
      </c>
      <c r="AG293" s="37">
        <f>IF(AP293="0",BI293,0)</f>
        <v>0</v>
      </c>
      <c r="AH293" s="36"/>
      <c r="AI293" s="21">
        <f>IF(AM293=0,K293,0)</f>
        <v>0</v>
      </c>
      <c r="AJ293" s="21">
        <f>IF(AM293=15,K293,0)</f>
        <v>0</v>
      </c>
      <c r="AK293" s="21">
        <f>IF(AM293=21,K293,0)</f>
        <v>0</v>
      </c>
      <c r="AM293" s="37">
        <v>21</v>
      </c>
      <c r="AN293" s="37">
        <f>H293*0.0406914893617021</f>
        <v>0</v>
      </c>
      <c r="AO293" s="37">
        <f>H293*(1-0.0406914893617021)</f>
        <v>0</v>
      </c>
      <c r="AP293" s="38" t="s">
        <v>7</v>
      </c>
      <c r="AU293" s="37">
        <f>AV293+AW293</f>
        <v>0</v>
      </c>
      <c r="AV293" s="37">
        <f>G293*AN293</f>
        <v>0</v>
      </c>
      <c r="AW293" s="37">
        <f>G293*AO293</f>
        <v>0</v>
      </c>
      <c r="AX293" s="40" t="s">
        <v>1087</v>
      </c>
      <c r="AY293" s="40" t="s">
        <v>1120</v>
      </c>
      <c r="AZ293" s="36" t="s">
        <v>1122</v>
      </c>
      <c r="BB293" s="37">
        <f>AV293+AW293</f>
        <v>0</v>
      </c>
      <c r="BC293" s="37">
        <f>H293/(100-BD293)*100</f>
        <v>0</v>
      </c>
      <c r="BD293" s="37">
        <v>0</v>
      </c>
      <c r="BE293" s="37">
        <f>293</f>
        <v>293</v>
      </c>
      <c r="BG293" s="21">
        <f>G293*AN293</f>
        <v>0</v>
      </c>
      <c r="BH293" s="21">
        <f>G293*AO293</f>
        <v>0</v>
      </c>
      <c r="BI293" s="21">
        <f>G293*H293</f>
        <v>0</v>
      </c>
      <c r="BJ293" s="21" t="s">
        <v>1127</v>
      </c>
      <c r="BK293" s="37">
        <v>97</v>
      </c>
    </row>
    <row r="294" spans="1:63" x14ac:dyDescent="0.25">
      <c r="A294" s="4" t="s">
        <v>210</v>
      </c>
      <c r="B294" s="14" t="s">
        <v>511</v>
      </c>
      <c r="C294" s="117" t="s">
        <v>902</v>
      </c>
      <c r="D294" s="118"/>
      <c r="E294" s="118"/>
      <c r="F294" s="14" t="s">
        <v>1024</v>
      </c>
      <c r="G294" s="21">
        <v>2</v>
      </c>
      <c r="H294" s="21">
        <v>0</v>
      </c>
      <c r="I294" s="21">
        <f>G294*AN294</f>
        <v>0</v>
      </c>
      <c r="J294" s="21">
        <f>G294*AO294</f>
        <v>0</v>
      </c>
      <c r="K294" s="21">
        <f>G294*H294</f>
        <v>0</v>
      </c>
      <c r="L294" s="5"/>
      <c r="Y294" s="37">
        <f>IF(AP294="5",BI294,0)</f>
        <v>0</v>
      </c>
      <c r="AA294" s="37">
        <f>IF(AP294="1",BG294,0)</f>
        <v>0</v>
      </c>
      <c r="AB294" s="37">
        <f>IF(AP294="1",BH294,0)</f>
        <v>0</v>
      </c>
      <c r="AC294" s="37">
        <f>IF(AP294="7",BG294,0)</f>
        <v>0</v>
      </c>
      <c r="AD294" s="37">
        <f>IF(AP294="7",BH294,0)</f>
        <v>0</v>
      </c>
      <c r="AE294" s="37">
        <f>IF(AP294="2",BG294,0)</f>
        <v>0</v>
      </c>
      <c r="AF294" s="37">
        <f>IF(AP294="2",BH294,0)</f>
        <v>0</v>
      </c>
      <c r="AG294" s="37">
        <f>IF(AP294="0",BI294,0)</f>
        <v>0</v>
      </c>
      <c r="AH294" s="36"/>
      <c r="AI294" s="21">
        <f>IF(AM294=0,K294,0)</f>
        <v>0</v>
      </c>
      <c r="AJ294" s="21">
        <f>IF(AM294=15,K294,0)</f>
        <v>0</v>
      </c>
      <c r="AK294" s="21">
        <f>IF(AM294=21,K294,0)</f>
        <v>0</v>
      </c>
      <c r="AM294" s="37">
        <v>21</v>
      </c>
      <c r="AN294" s="37">
        <f>H294*0.0185905224787363</f>
        <v>0</v>
      </c>
      <c r="AO294" s="37">
        <f>H294*(1-0.0185905224787363)</f>
        <v>0</v>
      </c>
      <c r="AP294" s="38" t="s">
        <v>7</v>
      </c>
      <c r="AU294" s="37">
        <f>AV294+AW294</f>
        <v>0</v>
      </c>
      <c r="AV294" s="37">
        <f>G294*AN294</f>
        <v>0</v>
      </c>
      <c r="AW294" s="37">
        <f>G294*AO294</f>
        <v>0</v>
      </c>
      <c r="AX294" s="40" t="s">
        <v>1087</v>
      </c>
      <c r="AY294" s="40" t="s">
        <v>1120</v>
      </c>
      <c r="AZ294" s="36" t="s">
        <v>1122</v>
      </c>
      <c r="BB294" s="37">
        <f>AV294+AW294</f>
        <v>0</v>
      </c>
      <c r="BC294" s="37">
        <f>H294/(100-BD294)*100</f>
        <v>0</v>
      </c>
      <c r="BD294" s="37">
        <v>0</v>
      </c>
      <c r="BE294" s="37">
        <f>294</f>
        <v>294</v>
      </c>
      <c r="BG294" s="21">
        <f>G294*AN294</f>
        <v>0</v>
      </c>
      <c r="BH294" s="21">
        <f>G294*AO294</f>
        <v>0</v>
      </c>
      <c r="BI294" s="21">
        <f>G294*H294</f>
        <v>0</v>
      </c>
      <c r="BJ294" s="21" t="s">
        <v>1127</v>
      </c>
      <c r="BK294" s="37">
        <v>97</v>
      </c>
    </row>
    <row r="295" spans="1:63" x14ac:dyDescent="0.25">
      <c r="A295" s="4" t="s">
        <v>211</v>
      </c>
      <c r="B295" s="14" t="s">
        <v>509</v>
      </c>
      <c r="C295" s="117" t="s">
        <v>903</v>
      </c>
      <c r="D295" s="118"/>
      <c r="E295" s="118"/>
      <c r="F295" s="14" t="s">
        <v>1024</v>
      </c>
      <c r="G295" s="21">
        <v>4</v>
      </c>
      <c r="H295" s="21">
        <v>0</v>
      </c>
      <c r="I295" s="21">
        <f>G295*AN295</f>
        <v>0</v>
      </c>
      <c r="J295" s="21">
        <f>G295*AO295</f>
        <v>0</v>
      </c>
      <c r="K295" s="21">
        <f>G295*H295</f>
        <v>0</v>
      </c>
      <c r="L295" s="5"/>
      <c r="Y295" s="37">
        <f>IF(AP295="5",BI295,0)</f>
        <v>0</v>
      </c>
      <c r="AA295" s="37">
        <f>IF(AP295="1",BG295,0)</f>
        <v>0</v>
      </c>
      <c r="AB295" s="37">
        <f>IF(AP295="1",BH295,0)</f>
        <v>0</v>
      </c>
      <c r="AC295" s="37">
        <f>IF(AP295="7",BG295,0)</f>
        <v>0</v>
      </c>
      <c r="AD295" s="37">
        <f>IF(AP295="7",BH295,0)</f>
        <v>0</v>
      </c>
      <c r="AE295" s="37">
        <f>IF(AP295="2",BG295,0)</f>
        <v>0</v>
      </c>
      <c r="AF295" s="37">
        <f>IF(AP295="2",BH295,0)</f>
        <v>0</v>
      </c>
      <c r="AG295" s="37">
        <f>IF(AP295="0",BI295,0)</f>
        <v>0</v>
      </c>
      <c r="AH295" s="36"/>
      <c r="AI295" s="21">
        <f>IF(AM295=0,K295,0)</f>
        <v>0</v>
      </c>
      <c r="AJ295" s="21">
        <f>IF(AM295=15,K295,0)</f>
        <v>0</v>
      </c>
      <c r="AK295" s="21">
        <f>IF(AM295=21,K295,0)</f>
        <v>0</v>
      </c>
      <c r="AM295" s="37">
        <v>21</v>
      </c>
      <c r="AN295" s="37">
        <f>H295*0</f>
        <v>0</v>
      </c>
      <c r="AO295" s="37">
        <f>H295*(1-0)</f>
        <v>0</v>
      </c>
      <c r="AP295" s="38" t="s">
        <v>7</v>
      </c>
      <c r="AU295" s="37">
        <f>AV295+AW295</f>
        <v>0</v>
      </c>
      <c r="AV295" s="37">
        <f>G295*AN295</f>
        <v>0</v>
      </c>
      <c r="AW295" s="37">
        <f>G295*AO295</f>
        <v>0</v>
      </c>
      <c r="AX295" s="40" t="s">
        <v>1087</v>
      </c>
      <c r="AY295" s="40" t="s">
        <v>1120</v>
      </c>
      <c r="AZ295" s="36" t="s">
        <v>1122</v>
      </c>
      <c r="BB295" s="37">
        <f>AV295+AW295</f>
        <v>0</v>
      </c>
      <c r="BC295" s="37">
        <f>H295/(100-BD295)*100</f>
        <v>0</v>
      </c>
      <c r="BD295" s="37">
        <v>0</v>
      </c>
      <c r="BE295" s="37">
        <f>295</f>
        <v>295</v>
      </c>
      <c r="BG295" s="21">
        <f>G295*AN295</f>
        <v>0</v>
      </c>
      <c r="BH295" s="21">
        <f>G295*AO295</f>
        <v>0</v>
      </c>
      <c r="BI295" s="21">
        <f>G295*H295</f>
        <v>0</v>
      </c>
      <c r="BJ295" s="21" t="s">
        <v>1127</v>
      </c>
      <c r="BK295" s="37">
        <v>97</v>
      </c>
    </row>
    <row r="296" spans="1:63" x14ac:dyDescent="0.25">
      <c r="A296" s="4" t="s">
        <v>212</v>
      </c>
      <c r="B296" s="14" t="s">
        <v>512</v>
      </c>
      <c r="C296" s="117" t="s">
        <v>904</v>
      </c>
      <c r="D296" s="118"/>
      <c r="E296" s="118"/>
      <c r="F296" s="14" t="s">
        <v>1024</v>
      </c>
      <c r="G296" s="21">
        <v>2</v>
      </c>
      <c r="H296" s="21">
        <v>0</v>
      </c>
      <c r="I296" s="21">
        <f>G296*AN296</f>
        <v>0</v>
      </c>
      <c r="J296" s="21">
        <f>G296*AO296</f>
        <v>0</v>
      </c>
      <c r="K296" s="21">
        <f>G296*H296</f>
        <v>0</v>
      </c>
      <c r="L296" s="5"/>
      <c r="Y296" s="37">
        <f>IF(AP296="5",BI296,0)</f>
        <v>0</v>
      </c>
      <c r="AA296" s="37">
        <f>IF(AP296="1",BG296,0)</f>
        <v>0</v>
      </c>
      <c r="AB296" s="37">
        <f>IF(AP296="1",BH296,0)</f>
        <v>0</v>
      </c>
      <c r="AC296" s="37">
        <f>IF(AP296="7",BG296,0)</f>
        <v>0</v>
      </c>
      <c r="AD296" s="37">
        <f>IF(AP296="7",BH296,0)</f>
        <v>0</v>
      </c>
      <c r="AE296" s="37">
        <f>IF(AP296="2",BG296,0)</f>
        <v>0</v>
      </c>
      <c r="AF296" s="37">
        <f>IF(AP296="2",BH296,0)</f>
        <v>0</v>
      </c>
      <c r="AG296" s="37">
        <f>IF(AP296="0",BI296,0)</f>
        <v>0</v>
      </c>
      <c r="AH296" s="36"/>
      <c r="AI296" s="21">
        <f>IF(AM296=0,K296,0)</f>
        <v>0</v>
      </c>
      <c r="AJ296" s="21">
        <f>IF(AM296=15,K296,0)</f>
        <v>0</v>
      </c>
      <c r="AK296" s="21">
        <f>IF(AM296=21,K296,0)</f>
        <v>0</v>
      </c>
      <c r="AM296" s="37">
        <v>21</v>
      </c>
      <c r="AN296" s="37">
        <f>H296*0</f>
        <v>0</v>
      </c>
      <c r="AO296" s="37">
        <f>H296*(1-0)</f>
        <v>0</v>
      </c>
      <c r="AP296" s="38" t="s">
        <v>7</v>
      </c>
      <c r="AU296" s="37">
        <f>AV296+AW296</f>
        <v>0</v>
      </c>
      <c r="AV296" s="37">
        <f>G296*AN296</f>
        <v>0</v>
      </c>
      <c r="AW296" s="37">
        <f>G296*AO296</f>
        <v>0</v>
      </c>
      <c r="AX296" s="40" t="s">
        <v>1087</v>
      </c>
      <c r="AY296" s="40" t="s">
        <v>1120</v>
      </c>
      <c r="AZ296" s="36" t="s">
        <v>1122</v>
      </c>
      <c r="BB296" s="37">
        <f>AV296+AW296</f>
        <v>0</v>
      </c>
      <c r="BC296" s="37">
        <f>H296/(100-BD296)*100</f>
        <v>0</v>
      </c>
      <c r="BD296" s="37">
        <v>0</v>
      </c>
      <c r="BE296" s="37">
        <f>296</f>
        <v>296</v>
      </c>
      <c r="BG296" s="21">
        <f>G296*AN296</f>
        <v>0</v>
      </c>
      <c r="BH296" s="21">
        <f>G296*AO296</f>
        <v>0</v>
      </c>
      <c r="BI296" s="21">
        <f>G296*H296</f>
        <v>0</v>
      </c>
      <c r="BJ296" s="21" t="s">
        <v>1127</v>
      </c>
      <c r="BK296" s="37">
        <v>97</v>
      </c>
    </row>
    <row r="297" spans="1:63" x14ac:dyDescent="0.25">
      <c r="A297" s="6"/>
      <c r="B297" s="15" t="s">
        <v>513</v>
      </c>
      <c r="C297" s="121" t="s">
        <v>905</v>
      </c>
      <c r="D297" s="122"/>
      <c r="E297" s="122"/>
      <c r="F297" s="19" t="s">
        <v>6</v>
      </c>
      <c r="G297" s="19" t="s">
        <v>6</v>
      </c>
      <c r="H297" s="19" t="s">
        <v>6</v>
      </c>
      <c r="I297" s="43">
        <f>SUM(I298:I298)</f>
        <v>0</v>
      </c>
      <c r="J297" s="43">
        <f>SUM(J298:J298)</f>
        <v>0</v>
      </c>
      <c r="K297" s="43">
        <f>SUM(K298:K298)</f>
        <v>0</v>
      </c>
      <c r="L297" s="5"/>
      <c r="AH297" s="36"/>
      <c r="AR297" s="43">
        <f>SUM(AI298:AI298)</f>
        <v>0</v>
      </c>
      <c r="AS297" s="43">
        <f>SUM(AJ298:AJ298)</f>
        <v>0</v>
      </c>
      <c r="AT297" s="43">
        <f>SUM(AK298:AK298)</f>
        <v>0</v>
      </c>
    </row>
    <row r="298" spans="1:63" x14ac:dyDescent="0.25">
      <c r="A298" s="4" t="s">
        <v>213</v>
      </c>
      <c r="B298" s="14" t="s">
        <v>514</v>
      </c>
      <c r="C298" s="117" t="s">
        <v>906</v>
      </c>
      <c r="D298" s="118"/>
      <c r="E298" s="118"/>
      <c r="F298" s="14" t="s">
        <v>1022</v>
      </c>
      <c r="G298" s="21">
        <v>6.9</v>
      </c>
      <c r="H298" s="21">
        <v>0</v>
      </c>
      <c r="I298" s="21">
        <f>G298*AN298</f>
        <v>0</v>
      </c>
      <c r="J298" s="21">
        <f>G298*AO298</f>
        <v>0</v>
      </c>
      <c r="K298" s="21">
        <f>G298*H298</f>
        <v>0</v>
      </c>
      <c r="L298" s="5"/>
      <c r="Y298" s="37">
        <f>IF(AP298="5",BI298,0)</f>
        <v>0</v>
      </c>
      <c r="AA298" s="37">
        <f>IF(AP298="1",BG298,0)</f>
        <v>0</v>
      </c>
      <c r="AB298" s="37">
        <f>IF(AP298="1",BH298,0)</f>
        <v>0</v>
      </c>
      <c r="AC298" s="37">
        <f>IF(AP298="7",BG298,0)</f>
        <v>0</v>
      </c>
      <c r="AD298" s="37">
        <f>IF(AP298="7",BH298,0)</f>
        <v>0</v>
      </c>
      <c r="AE298" s="37">
        <f>IF(AP298="2",BG298,0)</f>
        <v>0</v>
      </c>
      <c r="AF298" s="37">
        <f>IF(AP298="2",BH298,0)</f>
        <v>0</v>
      </c>
      <c r="AG298" s="37">
        <f>IF(AP298="0",BI298,0)</f>
        <v>0</v>
      </c>
      <c r="AH298" s="36"/>
      <c r="AI298" s="21">
        <f>IF(AM298=0,K298,0)</f>
        <v>0</v>
      </c>
      <c r="AJ298" s="21">
        <f>IF(AM298=15,K298,0)</f>
        <v>0</v>
      </c>
      <c r="AK298" s="21">
        <f>IF(AM298=21,K298,0)</f>
        <v>0</v>
      </c>
      <c r="AM298" s="37">
        <v>21</v>
      </c>
      <c r="AN298" s="37">
        <f>H298*0</f>
        <v>0</v>
      </c>
      <c r="AO298" s="37">
        <f>H298*(1-0)</f>
        <v>0</v>
      </c>
      <c r="AP298" s="38" t="s">
        <v>11</v>
      </c>
      <c r="AU298" s="37">
        <f>AV298+AW298</f>
        <v>0</v>
      </c>
      <c r="AV298" s="37">
        <f>G298*AN298</f>
        <v>0</v>
      </c>
      <c r="AW298" s="37">
        <f>G298*AO298</f>
        <v>0</v>
      </c>
      <c r="AX298" s="40" t="s">
        <v>1088</v>
      </c>
      <c r="AY298" s="40" t="s">
        <v>1120</v>
      </c>
      <c r="AZ298" s="36" t="s">
        <v>1122</v>
      </c>
      <c r="BB298" s="37">
        <f>AV298+AW298</f>
        <v>0</v>
      </c>
      <c r="BC298" s="37">
        <f>H298/(100-BD298)*100</f>
        <v>0</v>
      </c>
      <c r="BD298" s="37">
        <v>0</v>
      </c>
      <c r="BE298" s="37">
        <f>298</f>
        <v>298</v>
      </c>
      <c r="BG298" s="21">
        <f>G298*AN298</f>
        <v>0</v>
      </c>
      <c r="BH298" s="21">
        <f>G298*AO298</f>
        <v>0</v>
      </c>
      <c r="BI298" s="21">
        <f>G298*H298</f>
        <v>0</v>
      </c>
      <c r="BJ298" s="21" t="s">
        <v>1127</v>
      </c>
      <c r="BK298" s="37" t="s">
        <v>513</v>
      </c>
    </row>
    <row r="299" spans="1:63" x14ac:dyDescent="0.25">
      <c r="A299" s="6"/>
      <c r="B299" s="15" t="s">
        <v>515</v>
      </c>
      <c r="C299" s="121" t="s">
        <v>907</v>
      </c>
      <c r="D299" s="122"/>
      <c r="E299" s="122"/>
      <c r="F299" s="19" t="s">
        <v>6</v>
      </c>
      <c r="G299" s="19" t="s">
        <v>6</v>
      </c>
      <c r="H299" s="19" t="s">
        <v>6</v>
      </c>
      <c r="I299" s="43">
        <f>SUM(I300:I300)</f>
        <v>0</v>
      </c>
      <c r="J299" s="43">
        <f>SUM(J300:J300)</f>
        <v>0</v>
      </c>
      <c r="K299" s="43">
        <f>SUM(K300:K300)</f>
        <v>0</v>
      </c>
      <c r="L299" s="5"/>
      <c r="AH299" s="36"/>
      <c r="AR299" s="43">
        <f>SUM(AI300:AI300)</f>
        <v>0</v>
      </c>
      <c r="AS299" s="43">
        <f>SUM(AJ300:AJ300)</f>
        <v>0</v>
      </c>
      <c r="AT299" s="43">
        <f>SUM(AK300:AK300)</f>
        <v>0</v>
      </c>
    </row>
    <row r="300" spans="1:63" x14ac:dyDescent="0.25">
      <c r="A300" s="4" t="s">
        <v>214</v>
      </c>
      <c r="B300" s="14" t="s">
        <v>516</v>
      </c>
      <c r="C300" s="117" t="s">
        <v>908</v>
      </c>
      <c r="D300" s="118"/>
      <c r="E300" s="118"/>
      <c r="F300" s="14" t="s">
        <v>1022</v>
      </c>
      <c r="G300" s="21">
        <v>2</v>
      </c>
      <c r="H300" s="21">
        <v>0</v>
      </c>
      <c r="I300" s="21">
        <f>G300*AN300</f>
        <v>0</v>
      </c>
      <c r="J300" s="21">
        <f>G300*AO300</f>
        <v>0</v>
      </c>
      <c r="K300" s="21">
        <f>G300*H300</f>
        <v>0</v>
      </c>
      <c r="L300" s="5"/>
      <c r="Y300" s="37">
        <f>IF(AP300="5",BI300,0)</f>
        <v>0</v>
      </c>
      <c r="AA300" s="37">
        <f>IF(AP300="1",BG300,0)</f>
        <v>0</v>
      </c>
      <c r="AB300" s="37">
        <f>IF(AP300="1",BH300,0)</f>
        <v>0</v>
      </c>
      <c r="AC300" s="37">
        <f>IF(AP300="7",BG300,0)</f>
        <v>0</v>
      </c>
      <c r="AD300" s="37">
        <f>IF(AP300="7",BH300,0)</f>
        <v>0</v>
      </c>
      <c r="AE300" s="37">
        <f>IF(AP300="2",BG300,0)</f>
        <v>0</v>
      </c>
      <c r="AF300" s="37">
        <f>IF(AP300="2",BH300,0)</f>
        <v>0</v>
      </c>
      <c r="AG300" s="37">
        <f>IF(AP300="0",BI300,0)</f>
        <v>0</v>
      </c>
      <c r="AH300" s="36"/>
      <c r="AI300" s="21">
        <f>IF(AM300=0,K300,0)</f>
        <v>0</v>
      </c>
      <c r="AJ300" s="21">
        <f>IF(AM300=15,K300,0)</f>
        <v>0</v>
      </c>
      <c r="AK300" s="21">
        <f>IF(AM300=21,K300,0)</f>
        <v>0</v>
      </c>
      <c r="AM300" s="37">
        <v>21</v>
      </c>
      <c r="AN300" s="37">
        <f>H300*0</f>
        <v>0</v>
      </c>
      <c r="AO300" s="37">
        <f>H300*(1-0)</f>
        <v>0</v>
      </c>
      <c r="AP300" s="38" t="s">
        <v>11</v>
      </c>
      <c r="AU300" s="37">
        <f>AV300+AW300</f>
        <v>0</v>
      </c>
      <c r="AV300" s="37">
        <f>G300*AN300</f>
        <v>0</v>
      </c>
      <c r="AW300" s="37">
        <f>G300*AO300</f>
        <v>0</v>
      </c>
      <c r="AX300" s="40" t="s">
        <v>1089</v>
      </c>
      <c r="AY300" s="40" t="s">
        <v>1120</v>
      </c>
      <c r="AZ300" s="36" t="s">
        <v>1122</v>
      </c>
      <c r="BB300" s="37">
        <f>AV300+AW300</f>
        <v>0</v>
      </c>
      <c r="BC300" s="37">
        <f>H300/(100-BD300)*100</f>
        <v>0</v>
      </c>
      <c r="BD300" s="37">
        <v>0</v>
      </c>
      <c r="BE300" s="37">
        <f>300</f>
        <v>300</v>
      </c>
      <c r="BG300" s="21">
        <f>G300*AN300</f>
        <v>0</v>
      </c>
      <c r="BH300" s="21">
        <f>G300*AO300</f>
        <v>0</v>
      </c>
      <c r="BI300" s="21">
        <f>G300*H300</f>
        <v>0</v>
      </c>
      <c r="BJ300" s="21" t="s">
        <v>1127</v>
      </c>
      <c r="BK300" s="37" t="s">
        <v>515</v>
      </c>
    </row>
    <row r="301" spans="1:63" x14ac:dyDescent="0.25">
      <c r="A301" s="6"/>
      <c r="B301" s="15" t="s">
        <v>517</v>
      </c>
      <c r="C301" s="121" t="s">
        <v>909</v>
      </c>
      <c r="D301" s="122"/>
      <c r="E301" s="122"/>
      <c r="F301" s="19" t="s">
        <v>6</v>
      </c>
      <c r="G301" s="19" t="s">
        <v>6</v>
      </c>
      <c r="H301" s="19" t="s">
        <v>6</v>
      </c>
      <c r="I301" s="43">
        <f>SUM(I302:I302)</f>
        <v>0</v>
      </c>
      <c r="J301" s="43">
        <f>SUM(J302:J302)</f>
        <v>0</v>
      </c>
      <c r="K301" s="43">
        <f>SUM(K302:K302)</f>
        <v>0</v>
      </c>
      <c r="L301" s="5"/>
      <c r="AH301" s="36"/>
      <c r="AR301" s="43">
        <f>SUM(AI302:AI302)</f>
        <v>0</v>
      </c>
      <c r="AS301" s="43">
        <f>SUM(AJ302:AJ302)</f>
        <v>0</v>
      </c>
      <c r="AT301" s="43">
        <f>SUM(AK302:AK302)</f>
        <v>0</v>
      </c>
    </row>
    <row r="302" spans="1:63" x14ac:dyDescent="0.25">
      <c r="A302" s="4" t="s">
        <v>215</v>
      </c>
      <c r="B302" s="14" t="s">
        <v>518</v>
      </c>
      <c r="C302" s="117" t="s">
        <v>910</v>
      </c>
      <c r="D302" s="118"/>
      <c r="E302" s="118"/>
      <c r="F302" s="14" t="s">
        <v>1022</v>
      </c>
      <c r="G302" s="21">
        <v>1.4</v>
      </c>
      <c r="H302" s="21">
        <v>0</v>
      </c>
      <c r="I302" s="21">
        <f>G302*AN302</f>
        <v>0</v>
      </c>
      <c r="J302" s="21">
        <f>G302*AO302</f>
        <v>0</v>
      </c>
      <c r="K302" s="21">
        <f>G302*H302</f>
        <v>0</v>
      </c>
      <c r="L302" s="5"/>
      <c r="Y302" s="37">
        <f>IF(AP302="5",BI302,0)</f>
        <v>0</v>
      </c>
      <c r="AA302" s="37">
        <f>IF(AP302="1",BG302,0)</f>
        <v>0</v>
      </c>
      <c r="AB302" s="37">
        <f>IF(AP302="1",BH302,0)</f>
        <v>0</v>
      </c>
      <c r="AC302" s="37">
        <f>IF(AP302="7",BG302,0)</f>
        <v>0</v>
      </c>
      <c r="AD302" s="37">
        <f>IF(AP302="7",BH302,0)</f>
        <v>0</v>
      </c>
      <c r="AE302" s="37">
        <f>IF(AP302="2",BG302,0)</f>
        <v>0</v>
      </c>
      <c r="AF302" s="37">
        <f>IF(AP302="2",BH302,0)</f>
        <v>0</v>
      </c>
      <c r="AG302" s="37">
        <f>IF(AP302="0",BI302,0)</f>
        <v>0</v>
      </c>
      <c r="AH302" s="36"/>
      <c r="AI302" s="21">
        <f>IF(AM302=0,K302,0)</f>
        <v>0</v>
      </c>
      <c r="AJ302" s="21">
        <f>IF(AM302=15,K302,0)</f>
        <v>0</v>
      </c>
      <c r="AK302" s="21">
        <f>IF(AM302=21,K302,0)</f>
        <v>0</v>
      </c>
      <c r="AM302" s="37">
        <v>21</v>
      </c>
      <c r="AN302" s="37">
        <f>H302*0</f>
        <v>0</v>
      </c>
      <c r="AO302" s="37">
        <f>H302*(1-0)</f>
        <v>0</v>
      </c>
      <c r="AP302" s="38" t="s">
        <v>11</v>
      </c>
      <c r="AU302" s="37">
        <f>AV302+AW302</f>
        <v>0</v>
      </c>
      <c r="AV302" s="37">
        <f>G302*AN302</f>
        <v>0</v>
      </c>
      <c r="AW302" s="37">
        <f>G302*AO302</f>
        <v>0</v>
      </c>
      <c r="AX302" s="40" t="s">
        <v>1090</v>
      </c>
      <c r="AY302" s="40" t="s">
        <v>1120</v>
      </c>
      <c r="AZ302" s="36" t="s">
        <v>1122</v>
      </c>
      <c r="BB302" s="37">
        <f>AV302+AW302</f>
        <v>0</v>
      </c>
      <c r="BC302" s="37">
        <f>H302/(100-BD302)*100</f>
        <v>0</v>
      </c>
      <c r="BD302" s="37">
        <v>0</v>
      </c>
      <c r="BE302" s="37">
        <f>302</f>
        <v>302</v>
      </c>
      <c r="BG302" s="21">
        <f>G302*AN302</f>
        <v>0</v>
      </c>
      <c r="BH302" s="21">
        <f>G302*AO302</f>
        <v>0</v>
      </c>
      <c r="BI302" s="21">
        <f>G302*H302</f>
        <v>0</v>
      </c>
      <c r="BJ302" s="21" t="s">
        <v>1127</v>
      </c>
      <c r="BK302" s="37" t="s">
        <v>517</v>
      </c>
    </row>
    <row r="303" spans="1:63" x14ac:dyDescent="0.25">
      <c r="A303" s="6"/>
      <c r="B303" s="15" t="s">
        <v>519</v>
      </c>
      <c r="C303" s="121" t="s">
        <v>911</v>
      </c>
      <c r="D303" s="122"/>
      <c r="E303" s="122"/>
      <c r="F303" s="19" t="s">
        <v>6</v>
      </c>
      <c r="G303" s="19" t="s">
        <v>6</v>
      </c>
      <c r="H303" s="19" t="s">
        <v>6</v>
      </c>
      <c r="I303" s="43">
        <f>SUM(I304:I304)</f>
        <v>0</v>
      </c>
      <c r="J303" s="43">
        <f>SUM(J304:J304)</f>
        <v>0</v>
      </c>
      <c r="K303" s="43">
        <f>SUM(K304:K304)</f>
        <v>0</v>
      </c>
      <c r="L303" s="5"/>
      <c r="AH303" s="36"/>
      <c r="AR303" s="43">
        <f>SUM(AI304:AI304)</f>
        <v>0</v>
      </c>
      <c r="AS303" s="43">
        <f>SUM(AJ304:AJ304)</f>
        <v>0</v>
      </c>
      <c r="AT303" s="43">
        <f>SUM(AK304:AK304)</f>
        <v>0</v>
      </c>
    </row>
    <row r="304" spans="1:63" x14ac:dyDescent="0.25">
      <c r="A304" s="4" t="s">
        <v>216</v>
      </c>
      <c r="B304" s="14" t="s">
        <v>520</v>
      </c>
      <c r="C304" s="117" t="s">
        <v>912</v>
      </c>
      <c r="D304" s="118"/>
      <c r="E304" s="118"/>
      <c r="F304" s="14" t="s">
        <v>1022</v>
      </c>
      <c r="G304" s="21">
        <v>10.6</v>
      </c>
      <c r="H304" s="21">
        <v>0</v>
      </c>
      <c r="I304" s="21">
        <f>G304*AN304</f>
        <v>0</v>
      </c>
      <c r="J304" s="21">
        <f>G304*AO304</f>
        <v>0</v>
      </c>
      <c r="K304" s="21">
        <f>G304*H304</f>
        <v>0</v>
      </c>
      <c r="L304" s="5"/>
      <c r="Y304" s="37">
        <f>IF(AP304="5",BI304,0)</f>
        <v>0</v>
      </c>
      <c r="AA304" s="37">
        <f>IF(AP304="1",BG304,0)</f>
        <v>0</v>
      </c>
      <c r="AB304" s="37">
        <f>IF(AP304="1",BH304,0)</f>
        <v>0</v>
      </c>
      <c r="AC304" s="37">
        <f>IF(AP304="7",BG304,0)</f>
        <v>0</v>
      </c>
      <c r="AD304" s="37">
        <f>IF(AP304="7",BH304,0)</f>
        <v>0</v>
      </c>
      <c r="AE304" s="37">
        <f>IF(AP304="2",BG304,0)</f>
        <v>0</v>
      </c>
      <c r="AF304" s="37">
        <f>IF(AP304="2",BH304,0)</f>
        <v>0</v>
      </c>
      <c r="AG304" s="37">
        <f>IF(AP304="0",BI304,0)</f>
        <v>0</v>
      </c>
      <c r="AH304" s="36"/>
      <c r="AI304" s="21">
        <f>IF(AM304=0,K304,0)</f>
        <v>0</v>
      </c>
      <c r="AJ304" s="21">
        <f>IF(AM304=15,K304,0)</f>
        <v>0</v>
      </c>
      <c r="AK304" s="21">
        <f>IF(AM304=21,K304,0)</f>
        <v>0</v>
      </c>
      <c r="AM304" s="37">
        <v>21</v>
      </c>
      <c r="AN304" s="37">
        <f>H304*0</f>
        <v>0</v>
      </c>
      <c r="AO304" s="37">
        <f>H304*(1-0)</f>
        <v>0</v>
      </c>
      <c r="AP304" s="38" t="s">
        <v>11</v>
      </c>
      <c r="AU304" s="37">
        <f>AV304+AW304</f>
        <v>0</v>
      </c>
      <c r="AV304" s="37">
        <f>G304*AN304</f>
        <v>0</v>
      </c>
      <c r="AW304" s="37">
        <f>G304*AO304</f>
        <v>0</v>
      </c>
      <c r="AX304" s="40" t="s">
        <v>1091</v>
      </c>
      <c r="AY304" s="40" t="s">
        <v>1120</v>
      </c>
      <c r="AZ304" s="36" t="s">
        <v>1122</v>
      </c>
      <c r="BB304" s="37">
        <f>AV304+AW304</f>
        <v>0</v>
      </c>
      <c r="BC304" s="37">
        <f>H304/(100-BD304)*100</f>
        <v>0</v>
      </c>
      <c r="BD304" s="37">
        <v>0</v>
      </c>
      <c r="BE304" s="37">
        <f>304</f>
        <v>304</v>
      </c>
      <c r="BG304" s="21">
        <f>G304*AN304</f>
        <v>0</v>
      </c>
      <c r="BH304" s="21">
        <f>G304*AO304</f>
        <v>0</v>
      </c>
      <c r="BI304" s="21">
        <f>G304*H304</f>
        <v>0</v>
      </c>
      <c r="BJ304" s="21" t="s">
        <v>1127</v>
      </c>
      <c r="BK304" s="37" t="s">
        <v>519</v>
      </c>
    </row>
    <row r="305" spans="1:63" x14ac:dyDescent="0.25">
      <c r="A305" s="6"/>
      <c r="B305" s="15" t="s">
        <v>521</v>
      </c>
      <c r="C305" s="121" t="s">
        <v>913</v>
      </c>
      <c r="D305" s="122"/>
      <c r="E305" s="122"/>
      <c r="F305" s="19" t="s">
        <v>6</v>
      </c>
      <c r="G305" s="19" t="s">
        <v>6</v>
      </c>
      <c r="H305" s="19" t="s">
        <v>6</v>
      </c>
      <c r="I305" s="43">
        <f>SUM(I306:I306)</f>
        <v>0</v>
      </c>
      <c r="J305" s="43">
        <f>SUM(J306:J306)</f>
        <v>0</v>
      </c>
      <c r="K305" s="43">
        <f>SUM(K306:K306)</f>
        <v>0</v>
      </c>
      <c r="L305" s="5"/>
      <c r="AH305" s="36"/>
      <c r="AR305" s="43">
        <f>SUM(AI306:AI306)</f>
        <v>0</v>
      </c>
      <c r="AS305" s="43">
        <f>SUM(AJ306:AJ306)</f>
        <v>0</v>
      </c>
      <c r="AT305" s="43">
        <f>SUM(AK306:AK306)</f>
        <v>0</v>
      </c>
    </row>
    <row r="306" spans="1:63" x14ac:dyDescent="0.25">
      <c r="A306" s="4" t="s">
        <v>217</v>
      </c>
      <c r="B306" s="14" t="s">
        <v>522</v>
      </c>
      <c r="C306" s="117" t="s">
        <v>914</v>
      </c>
      <c r="D306" s="118"/>
      <c r="E306" s="118"/>
      <c r="F306" s="14" t="s">
        <v>1022</v>
      </c>
      <c r="G306" s="21">
        <v>3.8</v>
      </c>
      <c r="H306" s="21">
        <v>0</v>
      </c>
      <c r="I306" s="21">
        <f>G306*AN306</f>
        <v>0</v>
      </c>
      <c r="J306" s="21">
        <f>G306*AO306</f>
        <v>0</v>
      </c>
      <c r="K306" s="21">
        <f>G306*H306</f>
        <v>0</v>
      </c>
      <c r="L306" s="5"/>
      <c r="Y306" s="37">
        <f>IF(AP306="5",BI306,0)</f>
        <v>0</v>
      </c>
      <c r="AA306" s="37">
        <f>IF(AP306="1",BG306,0)</f>
        <v>0</v>
      </c>
      <c r="AB306" s="37">
        <f>IF(AP306="1",BH306,0)</f>
        <v>0</v>
      </c>
      <c r="AC306" s="37">
        <f>IF(AP306="7",BG306,0)</f>
        <v>0</v>
      </c>
      <c r="AD306" s="37">
        <f>IF(AP306="7",BH306,0)</f>
        <v>0</v>
      </c>
      <c r="AE306" s="37">
        <f>IF(AP306="2",BG306,0)</f>
        <v>0</v>
      </c>
      <c r="AF306" s="37">
        <f>IF(AP306="2",BH306,0)</f>
        <v>0</v>
      </c>
      <c r="AG306" s="37">
        <f>IF(AP306="0",BI306,0)</f>
        <v>0</v>
      </c>
      <c r="AH306" s="36"/>
      <c r="AI306" s="21">
        <f>IF(AM306=0,K306,0)</f>
        <v>0</v>
      </c>
      <c r="AJ306" s="21">
        <f>IF(AM306=15,K306,0)</f>
        <v>0</v>
      </c>
      <c r="AK306" s="21">
        <f>IF(AM306=21,K306,0)</f>
        <v>0</v>
      </c>
      <c r="AM306" s="37">
        <v>21</v>
      </c>
      <c r="AN306" s="37">
        <f>H306*0</f>
        <v>0</v>
      </c>
      <c r="AO306" s="37">
        <f>H306*(1-0)</f>
        <v>0</v>
      </c>
      <c r="AP306" s="38" t="s">
        <v>11</v>
      </c>
      <c r="AU306" s="37">
        <f>AV306+AW306</f>
        <v>0</v>
      </c>
      <c r="AV306" s="37">
        <f>G306*AN306</f>
        <v>0</v>
      </c>
      <c r="AW306" s="37">
        <f>G306*AO306</f>
        <v>0</v>
      </c>
      <c r="AX306" s="40" t="s">
        <v>1092</v>
      </c>
      <c r="AY306" s="40" t="s">
        <v>1120</v>
      </c>
      <c r="AZ306" s="36" t="s">
        <v>1122</v>
      </c>
      <c r="BB306" s="37">
        <f>AV306+AW306</f>
        <v>0</v>
      </c>
      <c r="BC306" s="37">
        <f>H306/(100-BD306)*100</f>
        <v>0</v>
      </c>
      <c r="BD306" s="37">
        <v>0</v>
      </c>
      <c r="BE306" s="37">
        <f>306</f>
        <v>306</v>
      </c>
      <c r="BG306" s="21">
        <f>G306*AN306</f>
        <v>0</v>
      </c>
      <c r="BH306" s="21">
        <f>G306*AO306</f>
        <v>0</v>
      </c>
      <c r="BI306" s="21">
        <f>G306*H306</f>
        <v>0</v>
      </c>
      <c r="BJ306" s="21" t="s">
        <v>1127</v>
      </c>
      <c r="BK306" s="37" t="s">
        <v>521</v>
      </c>
    </row>
    <row r="307" spans="1:63" x14ac:dyDescent="0.25">
      <c r="A307" s="6"/>
      <c r="B307" s="15" t="s">
        <v>523</v>
      </c>
      <c r="C307" s="121" t="s">
        <v>915</v>
      </c>
      <c r="D307" s="122"/>
      <c r="E307" s="122"/>
      <c r="F307" s="19" t="s">
        <v>6</v>
      </c>
      <c r="G307" s="19" t="s">
        <v>6</v>
      </c>
      <c r="H307" s="19" t="s">
        <v>6</v>
      </c>
      <c r="I307" s="43">
        <f>SUM(I308:I308)</f>
        <v>0</v>
      </c>
      <c r="J307" s="43">
        <f>SUM(J308:J308)</f>
        <v>0</v>
      </c>
      <c r="K307" s="43">
        <f>SUM(K308:K308)</f>
        <v>0</v>
      </c>
      <c r="L307" s="5"/>
      <c r="AH307" s="36"/>
      <c r="AR307" s="43">
        <f>SUM(AI308:AI308)</f>
        <v>0</v>
      </c>
      <c r="AS307" s="43">
        <f>SUM(AJ308:AJ308)</f>
        <v>0</v>
      </c>
      <c r="AT307" s="43">
        <f>SUM(AK308:AK308)</f>
        <v>0</v>
      </c>
    </row>
    <row r="308" spans="1:63" x14ac:dyDescent="0.25">
      <c r="A308" s="4" t="s">
        <v>218</v>
      </c>
      <c r="B308" s="14" t="s">
        <v>524</v>
      </c>
      <c r="C308" s="117" t="s">
        <v>916</v>
      </c>
      <c r="D308" s="118"/>
      <c r="E308" s="118"/>
      <c r="F308" s="14" t="s">
        <v>1022</v>
      </c>
      <c r="G308" s="21">
        <v>0.2</v>
      </c>
      <c r="H308" s="21">
        <v>0</v>
      </c>
      <c r="I308" s="21">
        <f>G308*AN308</f>
        <v>0</v>
      </c>
      <c r="J308" s="21">
        <f>G308*AO308</f>
        <v>0</v>
      </c>
      <c r="K308" s="21">
        <f>G308*H308</f>
        <v>0</v>
      </c>
      <c r="L308" s="5"/>
      <c r="Y308" s="37">
        <f>IF(AP308="5",BI308,0)</f>
        <v>0</v>
      </c>
      <c r="AA308" s="37">
        <f>IF(AP308="1",BG308,0)</f>
        <v>0</v>
      </c>
      <c r="AB308" s="37">
        <f>IF(AP308="1",BH308,0)</f>
        <v>0</v>
      </c>
      <c r="AC308" s="37">
        <f>IF(AP308="7",BG308,0)</f>
        <v>0</v>
      </c>
      <c r="AD308" s="37">
        <f>IF(AP308="7",BH308,0)</f>
        <v>0</v>
      </c>
      <c r="AE308" s="37">
        <f>IF(AP308="2",BG308,0)</f>
        <v>0</v>
      </c>
      <c r="AF308" s="37">
        <f>IF(AP308="2",BH308,0)</f>
        <v>0</v>
      </c>
      <c r="AG308" s="37">
        <f>IF(AP308="0",BI308,0)</f>
        <v>0</v>
      </c>
      <c r="AH308" s="36"/>
      <c r="AI308" s="21">
        <f>IF(AM308=0,K308,0)</f>
        <v>0</v>
      </c>
      <c r="AJ308" s="21">
        <f>IF(AM308=15,K308,0)</f>
        <v>0</v>
      </c>
      <c r="AK308" s="21">
        <f>IF(AM308=21,K308,0)</f>
        <v>0</v>
      </c>
      <c r="AM308" s="37">
        <v>21</v>
      </c>
      <c r="AN308" s="37">
        <f>H308*0</f>
        <v>0</v>
      </c>
      <c r="AO308" s="37">
        <f>H308*(1-0)</f>
        <v>0</v>
      </c>
      <c r="AP308" s="38" t="s">
        <v>11</v>
      </c>
      <c r="AU308" s="37">
        <f>AV308+AW308</f>
        <v>0</v>
      </c>
      <c r="AV308" s="37">
        <f>G308*AN308</f>
        <v>0</v>
      </c>
      <c r="AW308" s="37">
        <f>G308*AO308</f>
        <v>0</v>
      </c>
      <c r="AX308" s="40" t="s">
        <v>1093</v>
      </c>
      <c r="AY308" s="40" t="s">
        <v>1120</v>
      </c>
      <c r="AZ308" s="36" t="s">
        <v>1122</v>
      </c>
      <c r="BB308" s="37">
        <f>AV308+AW308</f>
        <v>0</v>
      </c>
      <c r="BC308" s="37">
        <f>H308/(100-BD308)*100</f>
        <v>0</v>
      </c>
      <c r="BD308" s="37">
        <v>0</v>
      </c>
      <c r="BE308" s="37">
        <f>308</f>
        <v>308</v>
      </c>
      <c r="BG308" s="21">
        <f>G308*AN308</f>
        <v>0</v>
      </c>
      <c r="BH308" s="21">
        <f>G308*AO308</f>
        <v>0</v>
      </c>
      <c r="BI308" s="21">
        <f>G308*H308</f>
        <v>0</v>
      </c>
      <c r="BJ308" s="21" t="s">
        <v>1127</v>
      </c>
      <c r="BK308" s="37" t="s">
        <v>523</v>
      </c>
    </row>
    <row r="309" spans="1:63" x14ac:dyDescent="0.25">
      <c r="A309" s="6"/>
      <c r="B309" s="15" t="s">
        <v>525</v>
      </c>
      <c r="C309" s="121" t="s">
        <v>917</v>
      </c>
      <c r="D309" s="122"/>
      <c r="E309" s="122"/>
      <c r="F309" s="19" t="s">
        <v>6</v>
      </c>
      <c r="G309" s="19" t="s">
        <v>6</v>
      </c>
      <c r="H309" s="19" t="s">
        <v>6</v>
      </c>
      <c r="I309" s="43">
        <f>SUM(I310:I310)</f>
        <v>0</v>
      </c>
      <c r="J309" s="43">
        <f>SUM(J310:J310)</f>
        <v>0</v>
      </c>
      <c r="K309" s="43">
        <f>SUM(K310:K310)</f>
        <v>0</v>
      </c>
      <c r="L309" s="5"/>
      <c r="AH309" s="36"/>
      <c r="AR309" s="43">
        <f>SUM(AI310:AI310)</f>
        <v>0</v>
      </c>
      <c r="AS309" s="43">
        <f>SUM(AJ310:AJ310)</f>
        <v>0</v>
      </c>
      <c r="AT309" s="43">
        <f>SUM(AK310:AK310)</f>
        <v>0</v>
      </c>
    </row>
    <row r="310" spans="1:63" x14ac:dyDescent="0.25">
      <c r="A310" s="4" t="s">
        <v>219</v>
      </c>
      <c r="B310" s="14" t="s">
        <v>526</v>
      </c>
      <c r="C310" s="117" t="s">
        <v>918</v>
      </c>
      <c r="D310" s="118"/>
      <c r="E310" s="118"/>
      <c r="F310" s="14" t="s">
        <v>1022</v>
      </c>
      <c r="G310" s="21">
        <v>0.2</v>
      </c>
      <c r="H310" s="21">
        <v>0</v>
      </c>
      <c r="I310" s="21">
        <f>G310*AN310</f>
        <v>0</v>
      </c>
      <c r="J310" s="21">
        <f>G310*AO310</f>
        <v>0</v>
      </c>
      <c r="K310" s="21">
        <f>G310*H310</f>
        <v>0</v>
      </c>
      <c r="L310" s="5"/>
      <c r="Y310" s="37">
        <f>IF(AP310="5",BI310,0)</f>
        <v>0</v>
      </c>
      <c r="AA310" s="37">
        <f>IF(AP310="1",BG310,0)</f>
        <v>0</v>
      </c>
      <c r="AB310" s="37">
        <f>IF(AP310="1",BH310,0)</f>
        <v>0</v>
      </c>
      <c r="AC310" s="37">
        <f>IF(AP310="7",BG310,0)</f>
        <v>0</v>
      </c>
      <c r="AD310" s="37">
        <f>IF(AP310="7",BH310,0)</f>
        <v>0</v>
      </c>
      <c r="AE310" s="37">
        <f>IF(AP310="2",BG310,0)</f>
        <v>0</v>
      </c>
      <c r="AF310" s="37">
        <f>IF(AP310="2",BH310,0)</f>
        <v>0</v>
      </c>
      <c r="AG310" s="37">
        <f>IF(AP310="0",BI310,0)</f>
        <v>0</v>
      </c>
      <c r="AH310" s="36"/>
      <c r="AI310" s="21">
        <f>IF(AM310=0,K310,0)</f>
        <v>0</v>
      </c>
      <c r="AJ310" s="21">
        <f>IF(AM310=15,K310,0)</f>
        <v>0</v>
      </c>
      <c r="AK310" s="21">
        <f>IF(AM310=21,K310,0)</f>
        <v>0</v>
      </c>
      <c r="AM310" s="37">
        <v>21</v>
      </c>
      <c r="AN310" s="37">
        <f>H310*0</f>
        <v>0</v>
      </c>
      <c r="AO310" s="37">
        <f>H310*(1-0)</f>
        <v>0</v>
      </c>
      <c r="AP310" s="38" t="s">
        <v>11</v>
      </c>
      <c r="AU310" s="37">
        <f>AV310+AW310</f>
        <v>0</v>
      </c>
      <c r="AV310" s="37">
        <f>G310*AN310</f>
        <v>0</v>
      </c>
      <c r="AW310" s="37">
        <f>G310*AO310</f>
        <v>0</v>
      </c>
      <c r="AX310" s="40" t="s">
        <v>1094</v>
      </c>
      <c r="AY310" s="40" t="s">
        <v>1120</v>
      </c>
      <c r="AZ310" s="36" t="s">
        <v>1122</v>
      </c>
      <c r="BB310" s="37">
        <f>AV310+AW310</f>
        <v>0</v>
      </c>
      <c r="BC310" s="37">
        <f>H310/(100-BD310)*100</f>
        <v>0</v>
      </c>
      <c r="BD310" s="37">
        <v>0</v>
      </c>
      <c r="BE310" s="37">
        <f>310</f>
        <v>310</v>
      </c>
      <c r="BG310" s="21">
        <f>G310*AN310</f>
        <v>0</v>
      </c>
      <c r="BH310" s="21">
        <f>G310*AO310</f>
        <v>0</v>
      </c>
      <c r="BI310" s="21">
        <f>G310*H310</f>
        <v>0</v>
      </c>
      <c r="BJ310" s="21" t="s">
        <v>1127</v>
      </c>
      <c r="BK310" s="37" t="s">
        <v>525</v>
      </c>
    </row>
    <row r="311" spans="1:63" x14ac:dyDescent="0.25">
      <c r="A311" s="6"/>
      <c r="B311" s="15" t="s">
        <v>527</v>
      </c>
      <c r="C311" s="121" t="s">
        <v>919</v>
      </c>
      <c r="D311" s="122"/>
      <c r="E311" s="122"/>
      <c r="F311" s="19" t="s">
        <v>6</v>
      </c>
      <c r="G311" s="19" t="s">
        <v>6</v>
      </c>
      <c r="H311" s="19" t="s">
        <v>6</v>
      </c>
      <c r="I311" s="43">
        <f>SUM(I312:I312)</f>
        <v>0</v>
      </c>
      <c r="J311" s="43">
        <f>SUM(J312:J312)</f>
        <v>0</v>
      </c>
      <c r="K311" s="43">
        <f>SUM(K312:K312)</f>
        <v>0</v>
      </c>
      <c r="L311" s="5"/>
      <c r="AH311" s="36"/>
      <c r="AR311" s="43">
        <f>SUM(AI312:AI312)</f>
        <v>0</v>
      </c>
      <c r="AS311" s="43">
        <f>SUM(AJ312:AJ312)</f>
        <v>0</v>
      </c>
      <c r="AT311" s="43">
        <f>SUM(AK312:AK312)</f>
        <v>0</v>
      </c>
    </row>
    <row r="312" spans="1:63" x14ac:dyDescent="0.25">
      <c r="A312" s="4" t="s">
        <v>220</v>
      </c>
      <c r="B312" s="14" t="s">
        <v>528</v>
      </c>
      <c r="C312" s="117" t="s">
        <v>920</v>
      </c>
      <c r="D312" s="118"/>
      <c r="E312" s="118"/>
      <c r="F312" s="14" t="s">
        <v>1022</v>
      </c>
      <c r="G312" s="21">
        <v>0.1</v>
      </c>
      <c r="H312" s="21">
        <v>0</v>
      </c>
      <c r="I312" s="21">
        <f>G312*AN312</f>
        <v>0</v>
      </c>
      <c r="J312" s="21">
        <f>G312*AO312</f>
        <v>0</v>
      </c>
      <c r="K312" s="21">
        <f>G312*H312</f>
        <v>0</v>
      </c>
      <c r="L312" s="5"/>
      <c r="Y312" s="37">
        <f>IF(AP312="5",BI312,0)</f>
        <v>0</v>
      </c>
      <c r="AA312" s="37">
        <f>IF(AP312="1",BG312,0)</f>
        <v>0</v>
      </c>
      <c r="AB312" s="37">
        <f>IF(AP312="1",BH312,0)</f>
        <v>0</v>
      </c>
      <c r="AC312" s="37">
        <f>IF(AP312="7",BG312,0)</f>
        <v>0</v>
      </c>
      <c r="AD312" s="37">
        <f>IF(AP312="7",BH312,0)</f>
        <v>0</v>
      </c>
      <c r="AE312" s="37">
        <f>IF(AP312="2",BG312,0)</f>
        <v>0</v>
      </c>
      <c r="AF312" s="37">
        <f>IF(AP312="2",BH312,0)</f>
        <v>0</v>
      </c>
      <c r="AG312" s="37">
        <f>IF(AP312="0",BI312,0)</f>
        <v>0</v>
      </c>
      <c r="AH312" s="36"/>
      <c r="AI312" s="21">
        <f>IF(AM312=0,K312,0)</f>
        <v>0</v>
      </c>
      <c r="AJ312" s="21">
        <f>IF(AM312=15,K312,0)</f>
        <v>0</v>
      </c>
      <c r="AK312" s="21">
        <f>IF(AM312=21,K312,0)</f>
        <v>0</v>
      </c>
      <c r="AM312" s="37">
        <v>21</v>
      </c>
      <c r="AN312" s="37">
        <f>H312*0</f>
        <v>0</v>
      </c>
      <c r="AO312" s="37">
        <f>H312*(1-0)</f>
        <v>0</v>
      </c>
      <c r="AP312" s="38" t="s">
        <v>11</v>
      </c>
      <c r="AU312" s="37">
        <f>AV312+AW312</f>
        <v>0</v>
      </c>
      <c r="AV312" s="37">
        <f>G312*AN312</f>
        <v>0</v>
      </c>
      <c r="AW312" s="37">
        <f>G312*AO312</f>
        <v>0</v>
      </c>
      <c r="AX312" s="40" t="s">
        <v>1095</v>
      </c>
      <c r="AY312" s="40" t="s">
        <v>1120</v>
      </c>
      <c r="AZ312" s="36" t="s">
        <v>1122</v>
      </c>
      <c r="BB312" s="37">
        <f>AV312+AW312</f>
        <v>0</v>
      </c>
      <c r="BC312" s="37">
        <f>H312/(100-BD312)*100</f>
        <v>0</v>
      </c>
      <c r="BD312" s="37">
        <v>0</v>
      </c>
      <c r="BE312" s="37">
        <f>312</f>
        <v>312</v>
      </c>
      <c r="BG312" s="21">
        <f>G312*AN312</f>
        <v>0</v>
      </c>
      <c r="BH312" s="21">
        <f>G312*AO312</f>
        <v>0</v>
      </c>
      <c r="BI312" s="21">
        <f>G312*H312</f>
        <v>0</v>
      </c>
      <c r="BJ312" s="21" t="s">
        <v>1127</v>
      </c>
      <c r="BK312" s="37" t="s">
        <v>527</v>
      </c>
    </row>
    <row r="313" spans="1:63" x14ac:dyDescent="0.25">
      <c r="A313" s="6"/>
      <c r="B313" s="15" t="s">
        <v>529</v>
      </c>
      <c r="C313" s="121" t="s">
        <v>704</v>
      </c>
      <c r="D313" s="122"/>
      <c r="E313" s="122"/>
      <c r="F313" s="19" t="s">
        <v>6</v>
      </c>
      <c r="G313" s="19" t="s">
        <v>6</v>
      </c>
      <c r="H313" s="19" t="s">
        <v>6</v>
      </c>
      <c r="I313" s="43">
        <f>SUM(I314:I314)</f>
        <v>0</v>
      </c>
      <c r="J313" s="43">
        <f>SUM(J314:J314)</f>
        <v>0</v>
      </c>
      <c r="K313" s="43">
        <f>SUM(K314:K314)</f>
        <v>0</v>
      </c>
      <c r="L313" s="5"/>
      <c r="AH313" s="36"/>
      <c r="AR313" s="43">
        <f>SUM(AI314:AI314)</f>
        <v>0</v>
      </c>
      <c r="AS313" s="43">
        <f>SUM(AJ314:AJ314)</f>
        <v>0</v>
      </c>
      <c r="AT313" s="43">
        <f>SUM(AK314:AK314)</f>
        <v>0</v>
      </c>
    </row>
    <row r="314" spans="1:63" x14ac:dyDescent="0.25">
      <c r="A314" s="4" t="s">
        <v>221</v>
      </c>
      <c r="B314" s="14" t="s">
        <v>530</v>
      </c>
      <c r="C314" s="117" t="s">
        <v>921</v>
      </c>
      <c r="D314" s="118"/>
      <c r="E314" s="118"/>
      <c r="F314" s="14" t="s">
        <v>1022</v>
      </c>
      <c r="G314" s="21">
        <v>0.1</v>
      </c>
      <c r="H314" s="21">
        <v>0</v>
      </c>
      <c r="I314" s="21">
        <f>G314*AN314</f>
        <v>0</v>
      </c>
      <c r="J314" s="21">
        <f>G314*AO314</f>
        <v>0</v>
      </c>
      <c r="K314" s="21">
        <f>G314*H314</f>
        <v>0</v>
      </c>
      <c r="L314" s="5"/>
      <c r="Y314" s="37">
        <f>IF(AP314="5",BI314,0)</f>
        <v>0</v>
      </c>
      <c r="AA314" s="37">
        <f>IF(AP314="1",BG314,0)</f>
        <v>0</v>
      </c>
      <c r="AB314" s="37">
        <f>IF(AP314="1",BH314,0)</f>
        <v>0</v>
      </c>
      <c r="AC314" s="37">
        <f>IF(AP314="7",BG314,0)</f>
        <v>0</v>
      </c>
      <c r="AD314" s="37">
        <f>IF(AP314="7",BH314,0)</f>
        <v>0</v>
      </c>
      <c r="AE314" s="37">
        <f>IF(AP314="2",BG314,0)</f>
        <v>0</v>
      </c>
      <c r="AF314" s="37">
        <f>IF(AP314="2",BH314,0)</f>
        <v>0</v>
      </c>
      <c r="AG314" s="37">
        <f>IF(AP314="0",BI314,0)</f>
        <v>0</v>
      </c>
      <c r="AH314" s="36"/>
      <c r="AI314" s="21">
        <f>IF(AM314=0,K314,0)</f>
        <v>0</v>
      </c>
      <c r="AJ314" s="21">
        <f>IF(AM314=15,K314,0)</f>
        <v>0</v>
      </c>
      <c r="AK314" s="21">
        <f>IF(AM314=21,K314,0)</f>
        <v>0</v>
      </c>
      <c r="AM314" s="37">
        <v>21</v>
      </c>
      <c r="AN314" s="37">
        <f>H314*0</f>
        <v>0</v>
      </c>
      <c r="AO314" s="37">
        <f>H314*(1-0)</f>
        <v>0</v>
      </c>
      <c r="AP314" s="38" t="s">
        <v>11</v>
      </c>
      <c r="AU314" s="37">
        <f>AV314+AW314</f>
        <v>0</v>
      </c>
      <c r="AV314" s="37">
        <f>G314*AN314</f>
        <v>0</v>
      </c>
      <c r="AW314" s="37">
        <f>G314*AO314</f>
        <v>0</v>
      </c>
      <c r="AX314" s="40" t="s">
        <v>1096</v>
      </c>
      <c r="AY314" s="40" t="s">
        <v>1120</v>
      </c>
      <c r="AZ314" s="36" t="s">
        <v>1122</v>
      </c>
      <c r="BB314" s="37">
        <f>AV314+AW314</f>
        <v>0</v>
      </c>
      <c r="BC314" s="37">
        <f>H314/(100-BD314)*100</f>
        <v>0</v>
      </c>
      <c r="BD314" s="37">
        <v>0</v>
      </c>
      <c r="BE314" s="37">
        <f>314</f>
        <v>314</v>
      </c>
      <c r="BG314" s="21">
        <f>G314*AN314</f>
        <v>0</v>
      </c>
      <c r="BH314" s="21">
        <f>G314*AO314</f>
        <v>0</v>
      </c>
      <c r="BI314" s="21">
        <f>G314*H314</f>
        <v>0</v>
      </c>
      <c r="BJ314" s="21" t="s">
        <v>1127</v>
      </c>
      <c r="BK314" s="37" t="s">
        <v>529</v>
      </c>
    </row>
    <row r="315" spans="1:63" x14ac:dyDescent="0.25">
      <c r="A315" s="6"/>
      <c r="B315" s="15" t="s">
        <v>531</v>
      </c>
      <c r="C315" s="121" t="s">
        <v>713</v>
      </c>
      <c r="D315" s="122"/>
      <c r="E315" s="122"/>
      <c r="F315" s="19" t="s">
        <v>6</v>
      </c>
      <c r="G315" s="19" t="s">
        <v>6</v>
      </c>
      <c r="H315" s="19" t="s">
        <v>6</v>
      </c>
      <c r="I315" s="43">
        <f>SUM(I316:I316)</f>
        <v>0</v>
      </c>
      <c r="J315" s="43">
        <f>SUM(J316:J316)</f>
        <v>0</v>
      </c>
      <c r="K315" s="43">
        <f>SUM(K316:K316)</f>
        <v>0</v>
      </c>
      <c r="L315" s="5"/>
      <c r="AH315" s="36"/>
      <c r="AR315" s="43">
        <f>SUM(AI316:AI316)</f>
        <v>0</v>
      </c>
      <c r="AS315" s="43">
        <f>SUM(AJ316:AJ316)</f>
        <v>0</v>
      </c>
      <c r="AT315" s="43">
        <f>SUM(AK316:AK316)</f>
        <v>0</v>
      </c>
    </row>
    <row r="316" spans="1:63" x14ac:dyDescent="0.25">
      <c r="A316" s="4" t="s">
        <v>222</v>
      </c>
      <c r="B316" s="14" t="s">
        <v>532</v>
      </c>
      <c r="C316" s="117" t="s">
        <v>922</v>
      </c>
      <c r="D316" s="118"/>
      <c r="E316" s="118"/>
      <c r="F316" s="14" t="s">
        <v>1022</v>
      </c>
      <c r="G316" s="21">
        <v>0.1</v>
      </c>
      <c r="H316" s="21">
        <v>0</v>
      </c>
      <c r="I316" s="21">
        <f>G316*AN316</f>
        <v>0</v>
      </c>
      <c r="J316" s="21">
        <f>G316*AO316</f>
        <v>0</v>
      </c>
      <c r="K316" s="21">
        <f>G316*H316</f>
        <v>0</v>
      </c>
      <c r="L316" s="5"/>
      <c r="Y316" s="37">
        <f>IF(AP316="5",BI316,0)</f>
        <v>0</v>
      </c>
      <c r="AA316" s="37">
        <f>IF(AP316="1",BG316,0)</f>
        <v>0</v>
      </c>
      <c r="AB316" s="37">
        <f>IF(AP316="1",BH316,0)</f>
        <v>0</v>
      </c>
      <c r="AC316" s="37">
        <f>IF(AP316="7",BG316,0)</f>
        <v>0</v>
      </c>
      <c r="AD316" s="37">
        <f>IF(AP316="7",BH316,0)</f>
        <v>0</v>
      </c>
      <c r="AE316" s="37">
        <f>IF(AP316="2",BG316,0)</f>
        <v>0</v>
      </c>
      <c r="AF316" s="37">
        <f>IF(AP316="2",BH316,0)</f>
        <v>0</v>
      </c>
      <c r="AG316" s="37">
        <f>IF(AP316="0",BI316,0)</f>
        <v>0</v>
      </c>
      <c r="AH316" s="36"/>
      <c r="AI316" s="21">
        <f>IF(AM316=0,K316,0)</f>
        <v>0</v>
      </c>
      <c r="AJ316" s="21">
        <f>IF(AM316=15,K316,0)</f>
        <v>0</v>
      </c>
      <c r="AK316" s="21">
        <f>IF(AM316=21,K316,0)</f>
        <v>0</v>
      </c>
      <c r="AM316" s="37">
        <v>21</v>
      </c>
      <c r="AN316" s="37">
        <f>H316*0</f>
        <v>0</v>
      </c>
      <c r="AO316" s="37">
        <f>H316*(1-0)</f>
        <v>0</v>
      </c>
      <c r="AP316" s="38" t="s">
        <v>11</v>
      </c>
      <c r="AU316" s="37">
        <f>AV316+AW316</f>
        <v>0</v>
      </c>
      <c r="AV316" s="37">
        <f>G316*AN316</f>
        <v>0</v>
      </c>
      <c r="AW316" s="37">
        <f>G316*AO316</f>
        <v>0</v>
      </c>
      <c r="AX316" s="40" t="s">
        <v>1097</v>
      </c>
      <c r="AY316" s="40" t="s">
        <v>1120</v>
      </c>
      <c r="AZ316" s="36" t="s">
        <v>1122</v>
      </c>
      <c r="BB316" s="37">
        <f>AV316+AW316</f>
        <v>0</v>
      </c>
      <c r="BC316" s="37">
        <f>H316/(100-BD316)*100</f>
        <v>0</v>
      </c>
      <c r="BD316" s="37">
        <v>0</v>
      </c>
      <c r="BE316" s="37">
        <f>316</f>
        <v>316</v>
      </c>
      <c r="BG316" s="21">
        <f>G316*AN316</f>
        <v>0</v>
      </c>
      <c r="BH316" s="21">
        <f>G316*AO316</f>
        <v>0</v>
      </c>
      <c r="BI316" s="21">
        <f>G316*H316</f>
        <v>0</v>
      </c>
      <c r="BJ316" s="21" t="s">
        <v>1127</v>
      </c>
      <c r="BK316" s="37" t="s">
        <v>531</v>
      </c>
    </row>
    <row r="317" spans="1:63" x14ac:dyDescent="0.25">
      <c r="A317" s="6"/>
      <c r="B317" s="15" t="s">
        <v>533</v>
      </c>
      <c r="C317" s="121" t="s">
        <v>722</v>
      </c>
      <c r="D317" s="122"/>
      <c r="E317" s="122"/>
      <c r="F317" s="19" t="s">
        <v>6</v>
      </c>
      <c r="G317" s="19" t="s">
        <v>6</v>
      </c>
      <c r="H317" s="19" t="s">
        <v>6</v>
      </c>
      <c r="I317" s="43">
        <f>SUM(I318:I318)</f>
        <v>0</v>
      </c>
      <c r="J317" s="43">
        <f>SUM(J318:J318)</f>
        <v>0</v>
      </c>
      <c r="K317" s="43">
        <f>SUM(K318:K318)</f>
        <v>0</v>
      </c>
      <c r="L317" s="5"/>
      <c r="AH317" s="36"/>
      <c r="AR317" s="43">
        <f>SUM(AI318:AI318)</f>
        <v>0</v>
      </c>
      <c r="AS317" s="43">
        <f>SUM(AJ318:AJ318)</f>
        <v>0</v>
      </c>
      <c r="AT317" s="43">
        <f>SUM(AK318:AK318)</f>
        <v>0</v>
      </c>
    </row>
    <row r="318" spans="1:63" x14ac:dyDescent="0.25">
      <c r="A318" s="4" t="s">
        <v>223</v>
      </c>
      <c r="B318" s="14" t="s">
        <v>534</v>
      </c>
      <c r="C318" s="117" t="s">
        <v>923</v>
      </c>
      <c r="D318" s="118"/>
      <c r="E318" s="118"/>
      <c r="F318" s="14" t="s">
        <v>1022</v>
      </c>
      <c r="G318" s="21">
        <v>0.3</v>
      </c>
      <c r="H318" s="21">
        <v>0</v>
      </c>
      <c r="I318" s="21">
        <f>G318*AN318</f>
        <v>0</v>
      </c>
      <c r="J318" s="21">
        <f>G318*AO318</f>
        <v>0</v>
      </c>
      <c r="K318" s="21">
        <f>G318*H318</f>
        <v>0</v>
      </c>
      <c r="L318" s="5"/>
      <c r="Y318" s="37">
        <f>IF(AP318="5",BI318,0)</f>
        <v>0</v>
      </c>
      <c r="AA318" s="37">
        <f>IF(AP318="1",BG318,0)</f>
        <v>0</v>
      </c>
      <c r="AB318" s="37">
        <f>IF(AP318="1",BH318,0)</f>
        <v>0</v>
      </c>
      <c r="AC318" s="37">
        <f>IF(AP318="7",BG318,0)</f>
        <v>0</v>
      </c>
      <c r="AD318" s="37">
        <f>IF(AP318="7",BH318,0)</f>
        <v>0</v>
      </c>
      <c r="AE318" s="37">
        <f>IF(AP318="2",BG318,0)</f>
        <v>0</v>
      </c>
      <c r="AF318" s="37">
        <f>IF(AP318="2",BH318,0)</f>
        <v>0</v>
      </c>
      <c r="AG318" s="37">
        <f>IF(AP318="0",BI318,0)</f>
        <v>0</v>
      </c>
      <c r="AH318" s="36"/>
      <c r="AI318" s="21">
        <f>IF(AM318=0,K318,0)</f>
        <v>0</v>
      </c>
      <c r="AJ318" s="21">
        <f>IF(AM318=15,K318,0)</f>
        <v>0</v>
      </c>
      <c r="AK318" s="21">
        <f>IF(AM318=21,K318,0)</f>
        <v>0</v>
      </c>
      <c r="AM318" s="37">
        <v>21</v>
      </c>
      <c r="AN318" s="37">
        <f>H318*0</f>
        <v>0</v>
      </c>
      <c r="AO318" s="37">
        <f>H318*(1-0)</f>
        <v>0</v>
      </c>
      <c r="AP318" s="38" t="s">
        <v>11</v>
      </c>
      <c r="AU318" s="37">
        <f>AV318+AW318</f>
        <v>0</v>
      </c>
      <c r="AV318" s="37">
        <f>G318*AN318</f>
        <v>0</v>
      </c>
      <c r="AW318" s="37">
        <f>G318*AO318</f>
        <v>0</v>
      </c>
      <c r="AX318" s="40" t="s">
        <v>1098</v>
      </c>
      <c r="AY318" s="40" t="s">
        <v>1120</v>
      </c>
      <c r="AZ318" s="36" t="s">
        <v>1122</v>
      </c>
      <c r="BB318" s="37">
        <f>AV318+AW318</f>
        <v>0</v>
      </c>
      <c r="BC318" s="37">
        <f>H318/(100-BD318)*100</f>
        <v>0</v>
      </c>
      <c r="BD318" s="37">
        <v>0</v>
      </c>
      <c r="BE318" s="37">
        <f>318</f>
        <v>318</v>
      </c>
      <c r="BG318" s="21">
        <f>G318*AN318</f>
        <v>0</v>
      </c>
      <c r="BH318" s="21">
        <f>G318*AO318</f>
        <v>0</v>
      </c>
      <c r="BI318" s="21">
        <f>G318*H318</f>
        <v>0</v>
      </c>
      <c r="BJ318" s="21" t="s">
        <v>1127</v>
      </c>
      <c r="BK318" s="37" t="s">
        <v>533</v>
      </c>
    </row>
    <row r="319" spans="1:63" x14ac:dyDescent="0.25">
      <c r="A319" s="6"/>
      <c r="B319" s="15" t="s">
        <v>535</v>
      </c>
      <c r="C319" s="121" t="s">
        <v>738</v>
      </c>
      <c r="D319" s="122"/>
      <c r="E319" s="122"/>
      <c r="F319" s="19" t="s">
        <v>6</v>
      </c>
      <c r="G319" s="19" t="s">
        <v>6</v>
      </c>
      <c r="H319" s="19" t="s">
        <v>6</v>
      </c>
      <c r="I319" s="43">
        <f>SUM(I320:I320)</f>
        <v>0</v>
      </c>
      <c r="J319" s="43">
        <f>SUM(J320:J320)</f>
        <v>0</v>
      </c>
      <c r="K319" s="43">
        <f>SUM(K320:K320)</f>
        <v>0</v>
      </c>
      <c r="L319" s="5"/>
      <c r="AH319" s="36"/>
      <c r="AR319" s="43">
        <f>SUM(AI320:AI320)</f>
        <v>0</v>
      </c>
      <c r="AS319" s="43">
        <f>SUM(AJ320:AJ320)</f>
        <v>0</v>
      </c>
      <c r="AT319" s="43">
        <f>SUM(AK320:AK320)</f>
        <v>0</v>
      </c>
    </row>
    <row r="320" spans="1:63" x14ac:dyDescent="0.25">
      <c r="A320" s="4" t="s">
        <v>224</v>
      </c>
      <c r="B320" s="14" t="s">
        <v>536</v>
      </c>
      <c r="C320" s="117" t="s">
        <v>924</v>
      </c>
      <c r="D320" s="118"/>
      <c r="E320" s="118"/>
      <c r="F320" s="14" t="s">
        <v>1022</v>
      </c>
      <c r="G320" s="21">
        <v>2.1</v>
      </c>
      <c r="H320" s="21">
        <v>0</v>
      </c>
      <c r="I320" s="21">
        <f>G320*AN320</f>
        <v>0</v>
      </c>
      <c r="J320" s="21">
        <f>G320*AO320</f>
        <v>0</v>
      </c>
      <c r="K320" s="21">
        <f>G320*H320</f>
        <v>0</v>
      </c>
      <c r="L320" s="5"/>
      <c r="Y320" s="37">
        <f>IF(AP320="5",BI320,0)</f>
        <v>0</v>
      </c>
      <c r="AA320" s="37">
        <f>IF(AP320="1",BG320,0)</f>
        <v>0</v>
      </c>
      <c r="AB320" s="37">
        <f>IF(AP320="1",BH320,0)</f>
        <v>0</v>
      </c>
      <c r="AC320" s="37">
        <f>IF(AP320="7",BG320,0)</f>
        <v>0</v>
      </c>
      <c r="AD320" s="37">
        <f>IF(AP320="7",BH320,0)</f>
        <v>0</v>
      </c>
      <c r="AE320" s="37">
        <f>IF(AP320="2",BG320,0)</f>
        <v>0</v>
      </c>
      <c r="AF320" s="37">
        <f>IF(AP320="2",BH320,0)</f>
        <v>0</v>
      </c>
      <c r="AG320" s="37">
        <f>IF(AP320="0",BI320,0)</f>
        <v>0</v>
      </c>
      <c r="AH320" s="36"/>
      <c r="AI320" s="21">
        <f>IF(AM320=0,K320,0)</f>
        <v>0</v>
      </c>
      <c r="AJ320" s="21">
        <f>IF(AM320=15,K320,0)</f>
        <v>0</v>
      </c>
      <c r="AK320" s="21">
        <f>IF(AM320=21,K320,0)</f>
        <v>0</v>
      </c>
      <c r="AM320" s="37">
        <v>21</v>
      </c>
      <c r="AN320" s="37">
        <f>H320*0</f>
        <v>0</v>
      </c>
      <c r="AO320" s="37">
        <f>H320*(1-0)</f>
        <v>0</v>
      </c>
      <c r="AP320" s="38" t="s">
        <v>11</v>
      </c>
      <c r="AU320" s="37">
        <f>AV320+AW320</f>
        <v>0</v>
      </c>
      <c r="AV320" s="37">
        <f>G320*AN320</f>
        <v>0</v>
      </c>
      <c r="AW320" s="37">
        <f>G320*AO320</f>
        <v>0</v>
      </c>
      <c r="AX320" s="40" t="s">
        <v>1099</v>
      </c>
      <c r="AY320" s="40" t="s">
        <v>1120</v>
      </c>
      <c r="AZ320" s="36" t="s">
        <v>1122</v>
      </c>
      <c r="BB320" s="37">
        <f>AV320+AW320</f>
        <v>0</v>
      </c>
      <c r="BC320" s="37">
        <f>H320/(100-BD320)*100</f>
        <v>0</v>
      </c>
      <c r="BD320" s="37">
        <v>0</v>
      </c>
      <c r="BE320" s="37">
        <f>320</f>
        <v>320</v>
      </c>
      <c r="BG320" s="21">
        <f>G320*AN320</f>
        <v>0</v>
      </c>
      <c r="BH320" s="21">
        <f>G320*AO320</f>
        <v>0</v>
      </c>
      <c r="BI320" s="21">
        <f>G320*H320</f>
        <v>0</v>
      </c>
      <c r="BJ320" s="21" t="s">
        <v>1127</v>
      </c>
      <c r="BK320" s="37" t="s">
        <v>535</v>
      </c>
    </row>
    <row r="321" spans="1:63" x14ac:dyDescent="0.25">
      <c r="A321" s="6"/>
      <c r="B321" s="15" t="s">
        <v>537</v>
      </c>
      <c r="C321" s="121" t="s">
        <v>767</v>
      </c>
      <c r="D321" s="122"/>
      <c r="E321" s="122"/>
      <c r="F321" s="19" t="s">
        <v>6</v>
      </c>
      <c r="G321" s="19" t="s">
        <v>6</v>
      </c>
      <c r="H321" s="19" t="s">
        <v>6</v>
      </c>
      <c r="I321" s="43">
        <f>SUM(I322:I322)</f>
        <v>0</v>
      </c>
      <c r="J321" s="43">
        <f>SUM(J322:J322)</f>
        <v>0</v>
      </c>
      <c r="K321" s="43">
        <f>SUM(K322:K322)</f>
        <v>0</v>
      </c>
      <c r="L321" s="5"/>
      <c r="AH321" s="36"/>
      <c r="AR321" s="43">
        <f>SUM(AI322:AI322)</f>
        <v>0</v>
      </c>
      <c r="AS321" s="43">
        <f>SUM(AJ322:AJ322)</f>
        <v>0</v>
      </c>
      <c r="AT321" s="43">
        <f>SUM(AK322:AK322)</f>
        <v>0</v>
      </c>
    </row>
    <row r="322" spans="1:63" x14ac:dyDescent="0.25">
      <c r="A322" s="4" t="s">
        <v>225</v>
      </c>
      <c r="B322" s="14" t="s">
        <v>538</v>
      </c>
      <c r="C322" s="117" t="s">
        <v>925</v>
      </c>
      <c r="D322" s="118"/>
      <c r="E322" s="118"/>
      <c r="F322" s="14" t="s">
        <v>1022</v>
      </c>
      <c r="G322" s="21">
        <v>0.5</v>
      </c>
      <c r="H322" s="21">
        <v>0</v>
      </c>
      <c r="I322" s="21">
        <f>G322*AN322</f>
        <v>0</v>
      </c>
      <c r="J322" s="21">
        <f>G322*AO322</f>
        <v>0</v>
      </c>
      <c r="K322" s="21">
        <f>G322*H322</f>
        <v>0</v>
      </c>
      <c r="L322" s="5"/>
      <c r="Y322" s="37">
        <f>IF(AP322="5",BI322,0)</f>
        <v>0</v>
      </c>
      <c r="AA322" s="37">
        <f>IF(AP322="1",BG322,0)</f>
        <v>0</v>
      </c>
      <c r="AB322" s="37">
        <f>IF(AP322="1",BH322,0)</f>
        <v>0</v>
      </c>
      <c r="AC322" s="37">
        <f>IF(AP322="7",BG322,0)</f>
        <v>0</v>
      </c>
      <c r="AD322" s="37">
        <f>IF(AP322="7",BH322,0)</f>
        <v>0</v>
      </c>
      <c r="AE322" s="37">
        <f>IF(AP322="2",BG322,0)</f>
        <v>0</v>
      </c>
      <c r="AF322" s="37">
        <f>IF(AP322="2",BH322,0)</f>
        <v>0</v>
      </c>
      <c r="AG322" s="37">
        <f>IF(AP322="0",BI322,0)</f>
        <v>0</v>
      </c>
      <c r="AH322" s="36"/>
      <c r="AI322" s="21">
        <f>IF(AM322=0,K322,0)</f>
        <v>0</v>
      </c>
      <c r="AJ322" s="21">
        <f>IF(AM322=15,K322,0)</f>
        <v>0</v>
      </c>
      <c r="AK322" s="21">
        <f>IF(AM322=21,K322,0)</f>
        <v>0</v>
      </c>
      <c r="AM322" s="37">
        <v>21</v>
      </c>
      <c r="AN322" s="37">
        <f>H322*0</f>
        <v>0</v>
      </c>
      <c r="AO322" s="37">
        <f>H322*(1-0)</f>
        <v>0</v>
      </c>
      <c r="AP322" s="38" t="s">
        <v>11</v>
      </c>
      <c r="AU322" s="37">
        <f>AV322+AW322</f>
        <v>0</v>
      </c>
      <c r="AV322" s="37">
        <f>G322*AN322</f>
        <v>0</v>
      </c>
      <c r="AW322" s="37">
        <f>G322*AO322</f>
        <v>0</v>
      </c>
      <c r="AX322" s="40" t="s">
        <v>1100</v>
      </c>
      <c r="AY322" s="40" t="s">
        <v>1120</v>
      </c>
      <c r="AZ322" s="36" t="s">
        <v>1122</v>
      </c>
      <c r="BB322" s="37">
        <f>AV322+AW322</f>
        <v>0</v>
      </c>
      <c r="BC322" s="37">
        <f>H322/(100-BD322)*100</f>
        <v>0</v>
      </c>
      <c r="BD322" s="37">
        <v>0</v>
      </c>
      <c r="BE322" s="37">
        <f>322</f>
        <v>322</v>
      </c>
      <c r="BG322" s="21">
        <f>G322*AN322</f>
        <v>0</v>
      </c>
      <c r="BH322" s="21">
        <f>G322*AO322</f>
        <v>0</v>
      </c>
      <c r="BI322" s="21">
        <f>G322*H322</f>
        <v>0</v>
      </c>
      <c r="BJ322" s="21" t="s">
        <v>1127</v>
      </c>
      <c r="BK322" s="37" t="s">
        <v>537</v>
      </c>
    </row>
    <row r="323" spans="1:63" x14ac:dyDescent="0.25">
      <c r="A323" s="6"/>
      <c r="B323" s="15" t="s">
        <v>539</v>
      </c>
      <c r="C323" s="121" t="s">
        <v>789</v>
      </c>
      <c r="D323" s="122"/>
      <c r="E323" s="122"/>
      <c r="F323" s="19" t="s">
        <v>6</v>
      </c>
      <c r="G323" s="19" t="s">
        <v>6</v>
      </c>
      <c r="H323" s="19" t="s">
        <v>6</v>
      </c>
      <c r="I323" s="43">
        <f>SUM(I324:I324)</f>
        <v>0</v>
      </c>
      <c r="J323" s="43">
        <f>SUM(J324:J324)</f>
        <v>0</v>
      </c>
      <c r="K323" s="43">
        <f>SUM(K324:K324)</f>
        <v>0</v>
      </c>
      <c r="L323" s="5"/>
      <c r="AH323" s="36"/>
      <c r="AR323" s="43">
        <f>SUM(AI324:AI324)</f>
        <v>0</v>
      </c>
      <c r="AS323" s="43">
        <f>SUM(AJ324:AJ324)</f>
        <v>0</v>
      </c>
      <c r="AT323" s="43">
        <f>SUM(AK324:AK324)</f>
        <v>0</v>
      </c>
    </row>
    <row r="324" spans="1:63" x14ac:dyDescent="0.25">
      <c r="A324" s="4" t="s">
        <v>226</v>
      </c>
      <c r="B324" s="14" t="s">
        <v>540</v>
      </c>
      <c r="C324" s="117" t="s">
        <v>926</v>
      </c>
      <c r="D324" s="118"/>
      <c r="E324" s="118"/>
      <c r="F324" s="14" t="s">
        <v>1022</v>
      </c>
      <c r="G324" s="21">
        <v>0.6</v>
      </c>
      <c r="H324" s="21">
        <v>0</v>
      </c>
      <c r="I324" s="21">
        <f>G324*AN324</f>
        <v>0</v>
      </c>
      <c r="J324" s="21">
        <f>G324*AO324</f>
        <v>0</v>
      </c>
      <c r="K324" s="21">
        <f>G324*H324</f>
        <v>0</v>
      </c>
      <c r="L324" s="5"/>
      <c r="Y324" s="37">
        <f>IF(AP324="5",BI324,0)</f>
        <v>0</v>
      </c>
      <c r="AA324" s="37">
        <f>IF(AP324="1",BG324,0)</f>
        <v>0</v>
      </c>
      <c r="AB324" s="37">
        <f>IF(AP324="1",BH324,0)</f>
        <v>0</v>
      </c>
      <c r="AC324" s="37">
        <f>IF(AP324="7",BG324,0)</f>
        <v>0</v>
      </c>
      <c r="AD324" s="37">
        <f>IF(AP324="7",BH324,0)</f>
        <v>0</v>
      </c>
      <c r="AE324" s="37">
        <f>IF(AP324="2",BG324,0)</f>
        <v>0</v>
      </c>
      <c r="AF324" s="37">
        <f>IF(AP324="2",BH324,0)</f>
        <v>0</v>
      </c>
      <c r="AG324" s="37">
        <f>IF(AP324="0",BI324,0)</f>
        <v>0</v>
      </c>
      <c r="AH324" s="36"/>
      <c r="AI324" s="21">
        <f>IF(AM324=0,K324,0)</f>
        <v>0</v>
      </c>
      <c r="AJ324" s="21">
        <f>IF(AM324=15,K324,0)</f>
        <v>0</v>
      </c>
      <c r="AK324" s="21">
        <f>IF(AM324=21,K324,0)</f>
        <v>0</v>
      </c>
      <c r="AM324" s="37">
        <v>21</v>
      </c>
      <c r="AN324" s="37">
        <f>H324*0</f>
        <v>0</v>
      </c>
      <c r="AO324" s="37">
        <f>H324*(1-0)</f>
        <v>0</v>
      </c>
      <c r="AP324" s="38" t="s">
        <v>11</v>
      </c>
      <c r="AU324" s="37">
        <f>AV324+AW324</f>
        <v>0</v>
      </c>
      <c r="AV324" s="37">
        <f>G324*AN324</f>
        <v>0</v>
      </c>
      <c r="AW324" s="37">
        <f>G324*AO324</f>
        <v>0</v>
      </c>
      <c r="AX324" s="40" t="s">
        <v>1101</v>
      </c>
      <c r="AY324" s="40" t="s">
        <v>1120</v>
      </c>
      <c r="AZ324" s="36" t="s">
        <v>1122</v>
      </c>
      <c r="BB324" s="37">
        <f>AV324+AW324</f>
        <v>0</v>
      </c>
      <c r="BC324" s="37">
        <f>H324/(100-BD324)*100</f>
        <v>0</v>
      </c>
      <c r="BD324" s="37">
        <v>0</v>
      </c>
      <c r="BE324" s="37">
        <f>324</f>
        <v>324</v>
      </c>
      <c r="BG324" s="21">
        <f>G324*AN324</f>
        <v>0</v>
      </c>
      <c r="BH324" s="21">
        <f>G324*AO324</f>
        <v>0</v>
      </c>
      <c r="BI324" s="21">
        <f>G324*H324</f>
        <v>0</v>
      </c>
      <c r="BJ324" s="21" t="s">
        <v>1127</v>
      </c>
      <c r="BK324" s="37" t="s">
        <v>539</v>
      </c>
    </row>
    <row r="325" spans="1:63" x14ac:dyDescent="0.25">
      <c r="A325" s="6"/>
      <c r="B325" s="15" t="s">
        <v>541</v>
      </c>
      <c r="C325" s="121" t="s">
        <v>798</v>
      </c>
      <c r="D325" s="122"/>
      <c r="E325" s="122"/>
      <c r="F325" s="19" t="s">
        <v>6</v>
      </c>
      <c r="G325" s="19" t="s">
        <v>6</v>
      </c>
      <c r="H325" s="19" t="s">
        <v>6</v>
      </c>
      <c r="I325" s="43">
        <f>SUM(I326:I326)</f>
        <v>0</v>
      </c>
      <c r="J325" s="43">
        <f>SUM(J326:J326)</f>
        <v>0</v>
      </c>
      <c r="K325" s="43">
        <f>SUM(K326:K326)</f>
        <v>0</v>
      </c>
      <c r="L325" s="5"/>
      <c r="AH325" s="36"/>
      <c r="AR325" s="43">
        <f>SUM(AI326:AI326)</f>
        <v>0</v>
      </c>
      <c r="AS325" s="43">
        <f>SUM(AJ326:AJ326)</f>
        <v>0</v>
      </c>
      <c r="AT325" s="43">
        <f>SUM(AK326:AK326)</f>
        <v>0</v>
      </c>
    </row>
    <row r="326" spans="1:63" x14ac:dyDescent="0.25">
      <c r="A326" s="4" t="s">
        <v>227</v>
      </c>
      <c r="B326" s="14" t="s">
        <v>542</v>
      </c>
      <c r="C326" s="117" t="s">
        <v>927</v>
      </c>
      <c r="D326" s="118"/>
      <c r="E326" s="118"/>
      <c r="F326" s="14" t="s">
        <v>1022</v>
      </c>
      <c r="G326" s="21">
        <v>0.2</v>
      </c>
      <c r="H326" s="21">
        <v>0</v>
      </c>
      <c r="I326" s="21">
        <f>G326*AN326</f>
        <v>0</v>
      </c>
      <c r="J326" s="21">
        <f>G326*AO326</f>
        <v>0</v>
      </c>
      <c r="K326" s="21">
        <f>G326*H326</f>
        <v>0</v>
      </c>
      <c r="L326" s="5"/>
      <c r="Y326" s="37">
        <f>IF(AP326="5",BI326,0)</f>
        <v>0</v>
      </c>
      <c r="AA326" s="37">
        <f>IF(AP326="1",BG326,0)</f>
        <v>0</v>
      </c>
      <c r="AB326" s="37">
        <f>IF(AP326="1",BH326,0)</f>
        <v>0</v>
      </c>
      <c r="AC326" s="37">
        <f>IF(AP326="7",BG326,0)</f>
        <v>0</v>
      </c>
      <c r="AD326" s="37">
        <f>IF(AP326="7",BH326,0)</f>
        <v>0</v>
      </c>
      <c r="AE326" s="37">
        <f>IF(AP326="2",BG326,0)</f>
        <v>0</v>
      </c>
      <c r="AF326" s="37">
        <f>IF(AP326="2",BH326,0)</f>
        <v>0</v>
      </c>
      <c r="AG326" s="37">
        <f>IF(AP326="0",BI326,0)</f>
        <v>0</v>
      </c>
      <c r="AH326" s="36"/>
      <c r="AI326" s="21">
        <f>IF(AM326=0,K326,0)</f>
        <v>0</v>
      </c>
      <c r="AJ326" s="21">
        <f>IF(AM326=15,K326,0)</f>
        <v>0</v>
      </c>
      <c r="AK326" s="21">
        <f>IF(AM326=21,K326,0)</f>
        <v>0</v>
      </c>
      <c r="AM326" s="37">
        <v>21</v>
      </c>
      <c r="AN326" s="37">
        <f>H326*0</f>
        <v>0</v>
      </c>
      <c r="AO326" s="37">
        <f>H326*(1-0)</f>
        <v>0</v>
      </c>
      <c r="AP326" s="38" t="s">
        <v>11</v>
      </c>
      <c r="AU326" s="37">
        <f>AV326+AW326</f>
        <v>0</v>
      </c>
      <c r="AV326" s="37">
        <f>G326*AN326</f>
        <v>0</v>
      </c>
      <c r="AW326" s="37">
        <f>G326*AO326</f>
        <v>0</v>
      </c>
      <c r="AX326" s="40" t="s">
        <v>1102</v>
      </c>
      <c r="AY326" s="40" t="s">
        <v>1120</v>
      </c>
      <c r="AZ326" s="36" t="s">
        <v>1122</v>
      </c>
      <c r="BB326" s="37">
        <f>AV326+AW326</f>
        <v>0</v>
      </c>
      <c r="BC326" s="37">
        <f>H326/(100-BD326)*100</f>
        <v>0</v>
      </c>
      <c r="BD326" s="37">
        <v>0</v>
      </c>
      <c r="BE326" s="37">
        <f>326</f>
        <v>326</v>
      </c>
      <c r="BG326" s="21">
        <f>G326*AN326</f>
        <v>0</v>
      </c>
      <c r="BH326" s="21">
        <f>G326*AO326</f>
        <v>0</v>
      </c>
      <c r="BI326" s="21">
        <f>G326*H326</f>
        <v>0</v>
      </c>
      <c r="BJ326" s="21" t="s">
        <v>1127</v>
      </c>
      <c r="BK326" s="37" t="s">
        <v>541</v>
      </c>
    </row>
    <row r="327" spans="1:63" x14ac:dyDescent="0.25">
      <c r="A327" s="6"/>
      <c r="B327" s="15" t="s">
        <v>543</v>
      </c>
      <c r="C327" s="121" t="s">
        <v>928</v>
      </c>
      <c r="D327" s="122"/>
      <c r="E327" s="122"/>
      <c r="F327" s="19" t="s">
        <v>6</v>
      </c>
      <c r="G327" s="19" t="s">
        <v>6</v>
      </c>
      <c r="H327" s="19" t="s">
        <v>6</v>
      </c>
      <c r="I327" s="43">
        <f>SUM(I328:I330)</f>
        <v>0</v>
      </c>
      <c r="J327" s="43">
        <f>SUM(J328:J330)</f>
        <v>0</v>
      </c>
      <c r="K327" s="43">
        <f>SUM(K328:K330)</f>
        <v>0</v>
      </c>
      <c r="L327" s="5"/>
      <c r="AH327" s="36"/>
      <c r="AR327" s="43">
        <f>SUM(AI328:AI330)</f>
        <v>0</v>
      </c>
      <c r="AS327" s="43">
        <f>SUM(AJ328:AJ330)</f>
        <v>0</v>
      </c>
      <c r="AT327" s="43">
        <f>SUM(AK328:AK330)</f>
        <v>0</v>
      </c>
    </row>
    <row r="328" spans="1:63" x14ac:dyDescent="0.25">
      <c r="A328" s="4" t="s">
        <v>228</v>
      </c>
      <c r="B328" s="14" t="s">
        <v>544</v>
      </c>
      <c r="C328" s="117" t="s">
        <v>929</v>
      </c>
      <c r="D328" s="118"/>
      <c r="E328" s="118"/>
      <c r="F328" s="14" t="s">
        <v>1029</v>
      </c>
      <c r="G328" s="21">
        <v>10</v>
      </c>
      <c r="H328" s="21">
        <v>0</v>
      </c>
      <c r="I328" s="21">
        <f>G328*AN328</f>
        <v>0</v>
      </c>
      <c r="J328" s="21">
        <f>G328*AO328</f>
        <v>0</v>
      </c>
      <c r="K328" s="21">
        <f>G328*H328</f>
        <v>0</v>
      </c>
      <c r="L328" s="5"/>
      <c r="Y328" s="37">
        <f>IF(AP328="5",BI328,0)</f>
        <v>0</v>
      </c>
      <c r="AA328" s="37">
        <f>IF(AP328="1",BG328,0)</f>
        <v>0</v>
      </c>
      <c r="AB328" s="37">
        <f>IF(AP328="1",BH328,0)</f>
        <v>0</v>
      </c>
      <c r="AC328" s="37">
        <f>IF(AP328="7",BG328,0)</f>
        <v>0</v>
      </c>
      <c r="AD328" s="37">
        <f>IF(AP328="7",BH328,0)</f>
        <v>0</v>
      </c>
      <c r="AE328" s="37">
        <f>IF(AP328="2",BG328,0)</f>
        <v>0</v>
      </c>
      <c r="AF328" s="37">
        <f>IF(AP328="2",BH328,0)</f>
        <v>0</v>
      </c>
      <c r="AG328" s="37">
        <f>IF(AP328="0",BI328,0)</f>
        <v>0</v>
      </c>
      <c r="AH328" s="36"/>
      <c r="AI328" s="21">
        <f>IF(AM328=0,K328,0)</f>
        <v>0</v>
      </c>
      <c r="AJ328" s="21">
        <f>IF(AM328=15,K328,0)</f>
        <v>0</v>
      </c>
      <c r="AK328" s="21">
        <f>IF(AM328=21,K328,0)</f>
        <v>0</v>
      </c>
      <c r="AM328" s="37">
        <v>21</v>
      </c>
      <c r="AN328" s="37">
        <f>H328*0</f>
        <v>0</v>
      </c>
      <c r="AO328" s="37">
        <f>H328*(1-0)</f>
        <v>0</v>
      </c>
      <c r="AP328" s="38" t="s">
        <v>11</v>
      </c>
      <c r="AU328" s="37">
        <f>AV328+AW328</f>
        <v>0</v>
      </c>
      <c r="AV328" s="37">
        <f>G328*AN328</f>
        <v>0</v>
      </c>
      <c r="AW328" s="37">
        <f>G328*AO328</f>
        <v>0</v>
      </c>
      <c r="AX328" s="40" t="s">
        <v>1103</v>
      </c>
      <c r="AY328" s="40" t="s">
        <v>1120</v>
      </c>
      <c r="AZ328" s="36" t="s">
        <v>1122</v>
      </c>
      <c r="BB328" s="37">
        <f>AV328+AW328</f>
        <v>0</v>
      </c>
      <c r="BC328" s="37">
        <f>H328/(100-BD328)*100</f>
        <v>0</v>
      </c>
      <c r="BD328" s="37">
        <v>0</v>
      </c>
      <c r="BE328" s="37">
        <f>328</f>
        <v>328</v>
      </c>
      <c r="BG328" s="21">
        <f>G328*AN328</f>
        <v>0</v>
      </c>
      <c r="BH328" s="21">
        <f>G328*AO328</f>
        <v>0</v>
      </c>
      <c r="BI328" s="21">
        <f>G328*H328</f>
        <v>0</v>
      </c>
      <c r="BJ328" s="21" t="s">
        <v>1127</v>
      </c>
      <c r="BK328" s="37" t="s">
        <v>543</v>
      </c>
    </row>
    <row r="329" spans="1:63" x14ac:dyDescent="0.25">
      <c r="A329" s="4" t="s">
        <v>229</v>
      </c>
      <c r="B329" s="14" t="s">
        <v>545</v>
      </c>
      <c r="C329" s="117" t="s">
        <v>930</v>
      </c>
      <c r="D329" s="118"/>
      <c r="E329" s="118"/>
      <c r="F329" s="14" t="s">
        <v>1030</v>
      </c>
      <c r="G329" s="21">
        <v>12</v>
      </c>
      <c r="H329" s="21">
        <v>0</v>
      </c>
      <c r="I329" s="21">
        <f>G329*AN329</f>
        <v>0</v>
      </c>
      <c r="J329" s="21">
        <f>G329*AO329</f>
        <v>0</v>
      </c>
      <c r="K329" s="21">
        <f>G329*H329</f>
        <v>0</v>
      </c>
      <c r="L329" s="5"/>
      <c r="Y329" s="37">
        <f>IF(AP329="5",BI329,0)</f>
        <v>0</v>
      </c>
      <c r="AA329" s="37">
        <f>IF(AP329="1",BG329,0)</f>
        <v>0</v>
      </c>
      <c r="AB329" s="37">
        <f>IF(AP329="1",BH329,0)</f>
        <v>0</v>
      </c>
      <c r="AC329" s="37">
        <f>IF(AP329="7",BG329,0)</f>
        <v>0</v>
      </c>
      <c r="AD329" s="37">
        <f>IF(AP329="7",BH329,0)</f>
        <v>0</v>
      </c>
      <c r="AE329" s="37">
        <f>IF(AP329="2",BG329,0)</f>
        <v>0</v>
      </c>
      <c r="AF329" s="37">
        <f>IF(AP329="2",BH329,0)</f>
        <v>0</v>
      </c>
      <c r="AG329" s="37">
        <f>IF(AP329="0",BI329,0)</f>
        <v>0</v>
      </c>
      <c r="AH329" s="36"/>
      <c r="AI329" s="21">
        <f>IF(AM329=0,K329,0)</f>
        <v>0</v>
      </c>
      <c r="AJ329" s="21">
        <f>IF(AM329=15,K329,0)</f>
        <v>0</v>
      </c>
      <c r="AK329" s="21">
        <f>IF(AM329=21,K329,0)</f>
        <v>0</v>
      </c>
      <c r="AM329" s="37">
        <v>21</v>
      </c>
      <c r="AN329" s="37">
        <f>H329*0</f>
        <v>0</v>
      </c>
      <c r="AO329" s="37">
        <f>H329*(1-0)</f>
        <v>0</v>
      </c>
      <c r="AP329" s="38" t="s">
        <v>11</v>
      </c>
      <c r="AU329" s="37">
        <f>AV329+AW329</f>
        <v>0</v>
      </c>
      <c r="AV329" s="37">
        <f>G329*AN329</f>
        <v>0</v>
      </c>
      <c r="AW329" s="37">
        <f>G329*AO329</f>
        <v>0</v>
      </c>
      <c r="AX329" s="40" t="s">
        <v>1103</v>
      </c>
      <c r="AY329" s="40" t="s">
        <v>1120</v>
      </c>
      <c r="AZ329" s="36" t="s">
        <v>1122</v>
      </c>
      <c r="BB329" s="37">
        <f>AV329+AW329</f>
        <v>0</v>
      </c>
      <c r="BC329" s="37">
        <f>H329/(100-BD329)*100</f>
        <v>0</v>
      </c>
      <c r="BD329" s="37">
        <v>0</v>
      </c>
      <c r="BE329" s="37">
        <f>329</f>
        <v>329</v>
      </c>
      <c r="BG329" s="21">
        <f>G329*AN329</f>
        <v>0</v>
      </c>
      <c r="BH329" s="21">
        <f>G329*AO329</f>
        <v>0</v>
      </c>
      <c r="BI329" s="21">
        <f>G329*H329</f>
        <v>0</v>
      </c>
      <c r="BJ329" s="21" t="s">
        <v>1127</v>
      </c>
      <c r="BK329" s="37" t="s">
        <v>543</v>
      </c>
    </row>
    <row r="330" spans="1:63" x14ac:dyDescent="0.25">
      <c r="A330" s="4" t="s">
        <v>230</v>
      </c>
      <c r="B330" s="14" t="s">
        <v>546</v>
      </c>
      <c r="C330" s="117" t="s">
        <v>931</v>
      </c>
      <c r="D330" s="118"/>
      <c r="E330" s="118"/>
      <c r="F330" s="14" t="s">
        <v>1022</v>
      </c>
      <c r="G330" s="21">
        <v>1.7</v>
      </c>
      <c r="H330" s="21">
        <v>0</v>
      </c>
      <c r="I330" s="21">
        <f>G330*AN330</f>
        <v>0</v>
      </c>
      <c r="J330" s="21">
        <f>G330*AO330</f>
        <v>0</v>
      </c>
      <c r="K330" s="21">
        <f>G330*H330</f>
        <v>0</v>
      </c>
      <c r="L330" s="5"/>
      <c r="Y330" s="37">
        <f>IF(AP330="5",BI330,0)</f>
        <v>0</v>
      </c>
      <c r="AA330" s="37">
        <f>IF(AP330="1",BG330,0)</f>
        <v>0</v>
      </c>
      <c r="AB330" s="37">
        <f>IF(AP330="1",BH330,0)</f>
        <v>0</v>
      </c>
      <c r="AC330" s="37">
        <f>IF(AP330="7",BG330,0)</f>
        <v>0</v>
      </c>
      <c r="AD330" s="37">
        <f>IF(AP330="7",BH330,0)</f>
        <v>0</v>
      </c>
      <c r="AE330" s="37">
        <f>IF(AP330="2",BG330,0)</f>
        <v>0</v>
      </c>
      <c r="AF330" s="37">
        <f>IF(AP330="2",BH330,0)</f>
        <v>0</v>
      </c>
      <c r="AG330" s="37">
        <f>IF(AP330="0",BI330,0)</f>
        <v>0</v>
      </c>
      <c r="AH330" s="36"/>
      <c r="AI330" s="21">
        <f>IF(AM330=0,K330,0)</f>
        <v>0</v>
      </c>
      <c r="AJ330" s="21">
        <f>IF(AM330=15,K330,0)</f>
        <v>0</v>
      </c>
      <c r="AK330" s="21">
        <f>IF(AM330=21,K330,0)</f>
        <v>0</v>
      </c>
      <c r="AM330" s="37">
        <v>21</v>
      </c>
      <c r="AN330" s="37">
        <f>H330*0</f>
        <v>0</v>
      </c>
      <c r="AO330" s="37">
        <f>H330*(1-0)</f>
        <v>0</v>
      </c>
      <c r="AP330" s="38" t="s">
        <v>11</v>
      </c>
      <c r="AU330" s="37">
        <f>AV330+AW330</f>
        <v>0</v>
      </c>
      <c r="AV330" s="37">
        <f>G330*AN330</f>
        <v>0</v>
      </c>
      <c r="AW330" s="37">
        <f>G330*AO330</f>
        <v>0</v>
      </c>
      <c r="AX330" s="40" t="s">
        <v>1103</v>
      </c>
      <c r="AY330" s="40" t="s">
        <v>1120</v>
      </c>
      <c r="AZ330" s="36" t="s">
        <v>1122</v>
      </c>
      <c r="BB330" s="37">
        <f>AV330+AW330</f>
        <v>0</v>
      </c>
      <c r="BC330" s="37">
        <f>H330/(100-BD330)*100</f>
        <v>0</v>
      </c>
      <c r="BD330" s="37">
        <v>0</v>
      </c>
      <c r="BE330" s="37">
        <f>330</f>
        <v>330</v>
      </c>
      <c r="BG330" s="21">
        <f>G330*AN330</f>
        <v>0</v>
      </c>
      <c r="BH330" s="21">
        <f>G330*AO330</f>
        <v>0</v>
      </c>
      <c r="BI330" s="21">
        <f>G330*H330</f>
        <v>0</v>
      </c>
      <c r="BJ330" s="21" t="s">
        <v>1127</v>
      </c>
      <c r="BK330" s="37" t="s">
        <v>543</v>
      </c>
    </row>
    <row r="331" spans="1:63" x14ac:dyDescent="0.25">
      <c r="A331" s="6"/>
      <c r="B331" s="15" t="s">
        <v>547</v>
      </c>
      <c r="C331" s="121" t="s">
        <v>932</v>
      </c>
      <c r="D331" s="122"/>
      <c r="E331" s="122"/>
      <c r="F331" s="19" t="s">
        <v>6</v>
      </c>
      <c r="G331" s="19" t="s">
        <v>6</v>
      </c>
      <c r="H331" s="19" t="s">
        <v>6</v>
      </c>
      <c r="I331" s="43">
        <f>SUM(I332:I337)</f>
        <v>0</v>
      </c>
      <c r="J331" s="43">
        <f>SUM(J332:J337)</f>
        <v>0</v>
      </c>
      <c r="K331" s="43">
        <f>SUM(K332:K337)</f>
        <v>0</v>
      </c>
      <c r="L331" s="5"/>
      <c r="AH331" s="36"/>
      <c r="AR331" s="43">
        <f>SUM(AI332:AI337)</f>
        <v>0</v>
      </c>
      <c r="AS331" s="43">
        <f>SUM(AJ332:AJ337)</f>
        <v>0</v>
      </c>
      <c r="AT331" s="43">
        <f>SUM(AK332:AK337)</f>
        <v>0</v>
      </c>
    </row>
    <row r="332" spans="1:63" x14ac:dyDescent="0.25">
      <c r="A332" s="4" t="s">
        <v>231</v>
      </c>
      <c r="B332" s="14" t="s">
        <v>548</v>
      </c>
      <c r="C332" s="117" t="s">
        <v>933</v>
      </c>
      <c r="D332" s="118"/>
      <c r="E332" s="118"/>
      <c r="F332" s="14" t="s">
        <v>1024</v>
      </c>
      <c r="G332" s="21">
        <v>2</v>
      </c>
      <c r="H332" s="21">
        <v>0</v>
      </c>
      <c r="I332" s="21">
        <f>G332*AN332</f>
        <v>0</v>
      </c>
      <c r="J332" s="21">
        <f>G332*AO332</f>
        <v>0</v>
      </c>
      <c r="K332" s="21">
        <f t="shared" ref="K332:K337" si="143">G332*H332</f>
        <v>0</v>
      </c>
      <c r="L332" s="5"/>
      <c r="Y332" s="37">
        <f t="shared" ref="Y332:Y337" si="144">IF(AP332="5",BI332,0)</f>
        <v>0</v>
      </c>
      <c r="AA332" s="37">
        <f t="shared" ref="AA332:AA337" si="145">IF(AP332="1",BG332,0)</f>
        <v>0</v>
      </c>
      <c r="AB332" s="37">
        <f t="shared" ref="AB332:AB337" si="146">IF(AP332="1",BH332,0)</f>
        <v>0</v>
      </c>
      <c r="AC332" s="37">
        <f t="shared" ref="AC332:AC337" si="147">IF(AP332="7",BG332,0)</f>
        <v>0</v>
      </c>
      <c r="AD332" s="37">
        <f t="shared" ref="AD332:AD337" si="148">IF(AP332="7",BH332,0)</f>
        <v>0</v>
      </c>
      <c r="AE332" s="37">
        <f t="shared" ref="AE332:AE337" si="149">IF(AP332="2",BG332,0)</f>
        <v>0</v>
      </c>
      <c r="AF332" s="37">
        <f t="shared" ref="AF332:AF337" si="150">IF(AP332="2",BH332,0)</f>
        <v>0</v>
      </c>
      <c r="AG332" s="37">
        <f t="shared" ref="AG332:AG337" si="151">IF(AP332="0",BI332,0)</f>
        <v>0</v>
      </c>
      <c r="AH332" s="36"/>
      <c r="AI332" s="21">
        <f>IF(AM332=0,K332,0)</f>
        <v>0</v>
      </c>
      <c r="AJ332" s="21">
        <f>IF(AM332=15,K332,0)</f>
        <v>0</v>
      </c>
      <c r="AK332" s="21">
        <f>IF(AM332=21,K332,0)</f>
        <v>0</v>
      </c>
      <c r="AM332" s="37">
        <v>21</v>
      </c>
      <c r="AN332" s="37">
        <f>H332*0</f>
        <v>0</v>
      </c>
      <c r="AO332" s="37">
        <f>H332*(1-0)</f>
        <v>0</v>
      </c>
      <c r="AP332" s="38" t="s">
        <v>8</v>
      </c>
      <c r="AU332" s="37">
        <f t="shared" ref="AU332:AU337" si="152">AV332+AW332</f>
        <v>0</v>
      </c>
      <c r="AV332" s="37">
        <f>G332*AN332</f>
        <v>0</v>
      </c>
      <c r="AW332" s="37">
        <f>G332*AO332</f>
        <v>0</v>
      </c>
      <c r="AX332" s="40" t="s">
        <v>1104</v>
      </c>
      <c r="AY332" s="40" t="s">
        <v>1120</v>
      </c>
      <c r="AZ332" s="36" t="s">
        <v>1122</v>
      </c>
      <c r="BB332" s="37">
        <f t="shared" ref="BB332:BB337" si="153">AV332+AW332</f>
        <v>0</v>
      </c>
      <c r="BC332" s="37">
        <f>H332/(100-BD332)*100</f>
        <v>0</v>
      </c>
      <c r="BD332" s="37">
        <v>0</v>
      </c>
      <c r="BE332" s="37">
        <f>332</f>
        <v>332</v>
      </c>
      <c r="BG332" s="21">
        <f>G332*AN332</f>
        <v>0</v>
      </c>
      <c r="BH332" s="21">
        <f>G332*AO332</f>
        <v>0</v>
      </c>
      <c r="BI332" s="21">
        <f>G332*H332</f>
        <v>0</v>
      </c>
      <c r="BJ332" s="21" t="s">
        <v>1127</v>
      </c>
      <c r="BK332" s="37" t="s">
        <v>547</v>
      </c>
    </row>
    <row r="333" spans="1:63" x14ac:dyDescent="0.25">
      <c r="A333" s="4" t="s">
        <v>232</v>
      </c>
      <c r="B333" s="14" t="s">
        <v>549</v>
      </c>
      <c r="C333" s="117" t="s">
        <v>934</v>
      </c>
      <c r="D333" s="118"/>
      <c r="E333" s="118"/>
      <c r="F333" s="14" t="s">
        <v>1024</v>
      </c>
      <c r="G333" s="21">
        <v>1</v>
      </c>
      <c r="H333" s="21">
        <v>0</v>
      </c>
      <c r="I333" s="21">
        <f>G333*AN333</f>
        <v>0</v>
      </c>
      <c r="J333" s="21">
        <f>G333*AO333</f>
        <v>0</v>
      </c>
      <c r="K333" s="21">
        <f t="shared" si="143"/>
        <v>0</v>
      </c>
      <c r="L333" s="5"/>
      <c r="Y333" s="37">
        <f t="shared" si="144"/>
        <v>0</v>
      </c>
      <c r="AA333" s="37">
        <f t="shared" si="145"/>
        <v>0</v>
      </c>
      <c r="AB333" s="37">
        <f t="shared" si="146"/>
        <v>0</v>
      </c>
      <c r="AC333" s="37">
        <f t="shared" si="147"/>
        <v>0</v>
      </c>
      <c r="AD333" s="37">
        <f t="shared" si="148"/>
        <v>0</v>
      </c>
      <c r="AE333" s="37">
        <f t="shared" si="149"/>
        <v>0</v>
      </c>
      <c r="AF333" s="37">
        <f t="shared" si="150"/>
        <v>0</v>
      </c>
      <c r="AG333" s="37">
        <f t="shared" si="151"/>
        <v>0</v>
      </c>
      <c r="AH333" s="36"/>
      <c r="AI333" s="21">
        <f>IF(AM333=0,K333,0)</f>
        <v>0</v>
      </c>
      <c r="AJ333" s="21">
        <f>IF(AM333=15,K333,0)</f>
        <v>0</v>
      </c>
      <c r="AK333" s="21">
        <f>IF(AM333=21,K333,0)</f>
        <v>0</v>
      </c>
      <c r="AM333" s="37">
        <v>21</v>
      </c>
      <c r="AN333" s="37">
        <f>H333*0</f>
        <v>0</v>
      </c>
      <c r="AO333" s="37">
        <f>H333*(1-0)</f>
        <v>0</v>
      </c>
      <c r="AP333" s="38" t="s">
        <v>8</v>
      </c>
      <c r="AU333" s="37">
        <f t="shared" si="152"/>
        <v>0</v>
      </c>
      <c r="AV333" s="37">
        <f>G333*AN333</f>
        <v>0</v>
      </c>
      <c r="AW333" s="37">
        <f>G333*AO333</f>
        <v>0</v>
      </c>
      <c r="AX333" s="40" t="s">
        <v>1104</v>
      </c>
      <c r="AY333" s="40" t="s">
        <v>1120</v>
      </c>
      <c r="AZ333" s="36" t="s">
        <v>1122</v>
      </c>
      <c r="BB333" s="37">
        <f t="shared" si="153"/>
        <v>0</v>
      </c>
      <c r="BC333" s="37">
        <f>H333/(100-BD333)*100</f>
        <v>0</v>
      </c>
      <c r="BD333" s="37">
        <v>0</v>
      </c>
      <c r="BE333" s="37">
        <f>333</f>
        <v>333</v>
      </c>
      <c r="BG333" s="21">
        <f>G333*AN333</f>
        <v>0</v>
      </c>
      <c r="BH333" s="21">
        <f>G333*AO333</f>
        <v>0</v>
      </c>
      <c r="BI333" s="21">
        <f>G333*H333</f>
        <v>0</v>
      </c>
      <c r="BJ333" s="21" t="s">
        <v>1127</v>
      </c>
      <c r="BK333" s="37" t="s">
        <v>547</v>
      </c>
    </row>
    <row r="334" spans="1:63" x14ac:dyDescent="0.25">
      <c r="A334" s="4" t="s">
        <v>233</v>
      </c>
      <c r="B334" s="14" t="s">
        <v>550</v>
      </c>
      <c r="C334" s="117" t="s">
        <v>935</v>
      </c>
      <c r="D334" s="118"/>
      <c r="E334" s="118"/>
      <c r="F334" s="14" t="s">
        <v>1024</v>
      </c>
      <c r="G334" s="21">
        <v>1</v>
      </c>
      <c r="H334" s="21">
        <v>0</v>
      </c>
      <c r="I334" s="21">
        <f>G334*AN334</f>
        <v>0</v>
      </c>
      <c r="J334" s="21">
        <f>G334*AO334</f>
        <v>0</v>
      </c>
      <c r="K334" s="21">
        <f t="shared" si="143"/>
        <v>0</v>
      </c>
      <c r="L334" s="5"/>
      <c r="Y334" s="37">
        <f t="shared" si="144"/>
        <v>0</v>
      </c>
      <c r="AA334" s="37">
        <f t="shared" si="145"/>
        <v>0</v>
      </c>
      <c r="AB334" s="37">
        <f t="shared" si="146"/>
        <v>0</v>
      </c>
      <c r="AC334" s="37">
        <f t="shared" si="147"/>
        <v>0</v>
      </c>
      <c r="AD334" s="37">
        <f t="shared" si="148"/>
        <v>0</v>
      </c>
      <c r="AE334" s="37">
        <f t="shared" si="149"/>
        <v>0</v>
      </c>
      <c r="AF334" s="37">
        <f t="shared" si="150"/>
        <v>0</v>
      </c>
      <c r="AG334" s="37">
        <f t="shared" si="151"/>
        <v>0</v>
      </c>
      <c r="AH334" s="36"/>
      <c r="AI334" s="21">
        <f>IF(AM334=0,K334,0)</f>
        <v>0</v>
      </c>
      <c r="AJ334" s="21">
        <f>IF(AM334=15,K334,0)</f>
        <v>0</v>
      </c>
      <c r="AK334" s="21">
        <f>IF(AM334=21,K334,0)</f>
        <v>0</v>
      </c>
      <c r="AM334" s="37">
        <v>21</v>
      </c>
      <c r="AN334" s="37">
        <f>H334*0</f>
        <v>0</v>
      </c>
      <c r="AO334" s="37">
        <f>H334*(1-0)</f>
        <v>0</v>
      </c>
      <c r="AP334" s="38" t="s">
        <v>7</v>
      </c>
      <c r="AU334" s="37">
        <f t="shared" si="152"/>
        <v>0</v>
      </c>
      <c r="AV334" s="37">
        <f>G334*AN334</f>
        <v>0</v>
      </c>
      <c r="AW334" s="37">
        <f>G334*AO334</f>
        <v>0</v>
      </c>
      <c r="AX334" s="40" t="s">
        <v>1104</v>
      </c>
      <c r="AY334" s="40" t="s">
        <v>1120</v>
      </c>
      <c r="AZ334" s="36" t="s">
        <v>1122</v>
      </c>
      <c r="BB334" s="37">
        <f t="shared" si="153"/>
        <v>0</v>
      </c>
      <c r="BC334" s="37">
        <f>H334/(100-BD334)*100</f>
        <v>0</v>
      </c>
      <c r="BD334" s="37">
        <v>0</v>
      </c>
      <c r="BE334" s="37">
        <f>334</f>
        <v>334</v>
      </c>
      <c r="BG334" s="21">
        <f>G334*AN334</f>
        <v>0</v>
      </c>
      <c r="BH334" s="21">
        <f>G334*AO334</f>
        <v>0</v>
      </c>
      <c r="BI334" s="21">
        <f>G334*H334</f>
        <v>0</v>
      </c>
      <c r="BJ334" s="21" t="s">
        <v>1127</v>
      </c>
      <c r="BK334" s="37" t="s">
        <v>547</v>
      </c>
    </row>
    <row r="335" spans="1:63" x14ac:dyDescent="0.25">
      <c r="A335" s="4" t="s">
        <v>234</v>
      </c>
      <c r="B335" s="14" t="s">
        <v>551</v>
      </c>
      <c r="C335" s="117" t="s">
        <v>936</v>
      </c>
      <c r="D335" s="118"/>
      <c r="E335" s="118"/>
      <c r="F335" s="14" t="s">
        <v>1024</v>
      </c>
      <c r="G335" s="21">
        <v>1</v>
      </c>
      <c r="H335" s="21">
        <v>0</v>
      </c>
      <c r="I335" s="21">
        <f>G335*AN335</f>
        <v>0</v>
      </c>
      <c r="J335" s="21">
        <f>G335*AO335</f>
        <v>0</v>
      </c>
      <c r="K335" s="21">
        <f t="shared" si="143"/>
        <v>0</v>
      </c>
      <c r="L335" s="5"/>
      <c r="Y335" s="37">
        <f t="shared" si="144"/>
        <v>0</v>
      </c>
      <c r="AA335" s="37">
        <f t="shared" si="145"/>
        <v>0</v>
      </c>
      <c r="AB335" s="37">
        <f t="shared" si="146"/>
        <v>0</v>
      </c>
      <c r="AC335" s="37">
        <f t="shared" si="147"/>
        <v>0</v>
      </c>
      <c r="AD335" s="37">
        <f t="shared" si="148"/>
        <v>0</v>
      </c>
      <c r="AE335" s="37">
        <f t="shared" si="149"/>
        <v>0</v>
      </c>
      <c r="AF335" s="37">
        <f t="shared" si="150"/>
        <v>0</v>
      </c>
      <c r="AG335" s="37">
        <f t="shared" si="151"/>
        <v>0</v>
      </c>
      <c r="AH335" s="36"/>
      <c r="AI335" s="21">
        <f>IF(AM335=0,K335,0)</f>
        <v>0</v>
      </c>
      <c r="AJ335" s="21">
        <f>IF(AM335=15,K335,0)</f>
        <v>0</v>
      </c>
      <c r="AK335" s="21">
        <f>IF(AM335=21,K335,0)</f>
        <v>0</v>
      </c>
      <c r="AM335" s="37">
        <v>21</v>
      </c>
      <c r="AN335" s="37">
        <f>H335*0</f>
        <v>0</v>
      </c>
      <c r="AO335" s="37">
        <f>H335*(1-0)</f>
        <v>0</v>
      </c>
      <c r="AP335" s="38" t="s">
        <v>7</v>
      </c>
      <c r="AU335" s="37">
        <f t="shared" si="152"/>
        <v>0</v>
      </c>
      <c r="AV335" s="37">
        <f>G335*AN335</f>
        <v>0</v>
      </c>
      <c r="AW335" s="37">
        <f>G335*AO335</f>
        <v>0</v>
      </c>
      <c r="AX335" s="40" t="s">
        <v>1104</v>
      </c>
      <c r="AY335" s="40" t="s">
        <v>1120</v>
      </c>
      <c r="AZ335" s="36" t="s">
        <v>1122</v>
      </c>
      <c r="BB335" s="37">
        <f t="shared" si="153"/>
        <v>0</v>
      </c>
      <c r="BC335" s="37">
        <f>H335/(100-BD335)*100</f>
        <v>0</v>
      </c>
      <c r="BD335" s="37">
        <v>0</v>
      </c>
      <c r="BE335" s="37">
        <f>335</f>
        <v>335</v>
      </c>
      <c r="BG335" s="21">
        <f>G335*AN335</f>
        <v>0</v>
      </c>
      <c r="BH335" s="21">
        <f>G335*AO335</f>
        <v>0</v>
      </c>
      <c r="BI335" s="21">
        <f>G335*H335</f>
        <v>0</v>
      </c>
      <c r="BJ335" s="21" t="s">
        <v>1127</v>
      </c>
      <c r="BK335" s="37" t="s">
        <v>547</v>
      </c>
    </row>
    <row r="336" spans="1:63" x14ac:dyDescent="0.25">
      <c r="A336" s="4" t="s">
        <v>235</v>
      </c>
      <c r="B336" s="14" t="s">
        <v>552</v>
      </c>
      <c r="C336" s="117" t="s">
        <v>937</v>
      </c>
      <c r="D336" s="118"/>
      <c r="E336" s="118"/>
      <c r="F336" s="14" t="s">
        <v>1024</v>
      </c>
      <c r="G336" s="21">
        <v>1</v>
      </c>
      <c r="H336" s="21">
        <v>0</v>
      </c>
      <c r="I336" s="21">
        <f>G336*AN336</f>
        <v>0</v>
      </c>
      <c r="J336" s="21">
        <f>G336*AO336</f>
        <v>0</v>
      </c>
      <c r="K336" s="21">
        <f t="shared" si="143"/>
        <v>0</v>
      </c>
      <c r="L336" s="5"/>
      <c r="Y336" s="37">
        <f t="shared" si="144"/>
        <v>0</v>
      </c>
      <c r="AA336" s="37">
        <f t="shared" si="145"/>
        <v>0</v>
      </c>
      <c r="AB336" s="37">
        <f t="shared" si="146"/>
        <v>0</v>
      </c>
      <c r="AC336" s="37">
        <f t="shared" si="147"/>
        <v>0</v>
      </c>
      <c r="AD336" s="37">
        <f t="shared" si="148"/>
        <v>0</v>
      </c>
      <c r="AE336" s="37">
        <f t="shared" si="149"/>
        <v>0</v>
      </c>
      <c r="AF336" s="37">
        <f t="shared" si="150"/>
        <v>0</v>
      </c>
      <c r="AG336" s="37">
        <f t="shared" si="151"/>
        <v>0</v>
      </c>
      <c r="AH336" s="36"/>
      <c r="AI336" s="21">
        <f>IF(AM336=0,K336,0)</f>
        <v>0</v>
      </c>
      <c r="AJ336" s="21">
        <f>IF(AM336=15,K336,0)</f>
        <v>0</v>
      </c>
      <c r="AK336" s="21">
        <f>IF(AM336=21,K336,0)</f>
        <v>0</v>
      </c>
      <c r="AM336" s="37">
        <v>21</v>
      </c>
      <c r="AN336" s="37">
        <f>H336*0</f>
        <v>0</v>
      </c>
      <c r="AO336" s="37">
        <f>H336*(1-0)</f>
        <v>0</v>
      </c>
      <c r="AP336" s="38" t="s">
        <v>8</v>
      </c>
      <c r="AU336" s="37">
        <f t="shared" si="152"/>
        <v>0</v>
      </c>
      <c r="AV336" s="37">
        <f>G336*AN336</f>
        <v>0</v>
      </c>
      <c r="AW336" s="37">
        <f>G336*AO336</f>
        <v>0</v>
      </c>
      <c r="AX336" s="40" t="s">
        <v>1104</v>
      </c>
      <c r="AY336" s="40" t="s">
        <v>1120</v>
      </c>
      <c r="AZ336" s="36" t="s">
        <v>1122</v>
      </c>
      <c r="BB336" s="37">
        <f t="shared" si="153"/>
        <v>0</v>
      </c>
      <c r="BC336" s="37">
        <f>H336/(100-BD336)*100</f>
        <v>0</v>
      </c>
      <c r="BD336" s="37">
        <v>0</v>
      </c>
      <c r="BE336" s="37">
        <f>336</f>
        <v>336</v>
      </c>
      <c r="BG336" s="21">
        <f>G336*AN336</f>
        <v>0</v>
      </c>
      <c r="BH336" s="21">
        <f>G336*AO336</f>
        <v>0</v>
      </c>
      <c r="BI336" s="21">
        <f>G336*H336</f>
        <v>0</v>
      </c>
      <c r="BJ336" s="21" t="s">
        <v>1127</v>
      </c>
      <c r="BK336" s="37" t="s">
        <v>547</v>
      </c>
    </row>
    <row r="337" spans="1:63" x14ac:dyDescent="0.25">
      <c r="A337" s="4" t="s">
        <v>236</v>
      </c>
      <c r="B337" s="14" t="s">
        <v>553</v>
      </c>
      <c r="C337" s="117" t="s">
        <v>938</v>
      </c>
      <c r="D337" s="118"/>
      <c r="E337" s="118"/>
      <c r="F337" s="14" t="s">
        <v>1024</v>
      </c>
      <c r="G337" s="21">
        <v>1</v>
      </c>
      <c r="H337" s="21">
        <v>0</v>
      </c>
      <c r="I337" s="21">
        <f>G337*AN337</f>
        <v>0</v>
      </c>
      <c r="J337" s="21">
        <f>G337*AO337</f>
        <v>0</v>
      </c>
      <c r="K337" s="21">
        <f t="shared" si="143"/>
        <v>0</v>
      </c>
      <c r="L337" s="5"/>
      <c r="Y337" s="37">
        <f t="shared" si="144"/>
        <v>0</v>
      </c>
      <c r="AA337" s="37">
        <f t="shared" si="145"/>
        <v>0</v>
      </c>
      <c r="AB337" s="37">
        <f t="shared" si="146"/>
        <v>0</v>
      </c>
      <c r="AC337" s="37">
        <f t="shared" si="147"/>
        <v>0</v>
      </c>
      <c r="AD337" s="37">
        <f t="shared" si="148"/>
        <v>0</v>
      </c>
      <c r="AE337" s="37">
        <f t="shared" si="149"/>
        <v>0</v>
      </c>
      <c r="AF337" s="37">
        <f t="shared" si="150"/>
        <v>0</v>
      </c>
      <c r="AG337" s="37">
        <f t="shared" si="151"/>
        <v>0</v>
      </c>
      <c r="AH337" s="36"/>
      <c r="AI337" s="21">
        <f>IF(AM337=0,K337,0)</f>
        <v>0</v>
      </c>
      <c r="AJ337" s="21">
        <f>IF(AM337=15,K337,0)</f>
        <v>0</v>
      </c>
      <c r="AK337" s="21">
        <f>IF(AM337=21,K337,0)</f>
        <v>0</v>
      </c>
      <c r="AM337" s="37">
        <v>21</v>
      </c>
      <c r="AN337" s="37">
        <f>H337*0</f>
        <v>0</v>
      </c>
      <c r="AO337" s="37">
        <f>H337*(1-0)</f>
        <v>0</v>
      </c>
      <c r="AP337" s="38" t="s">
        <v>7</v>
      </c>
      <c r="AU337" s="37">
        <f t="shared" si="152"/>
        <v>0</v>
      </c>
      <c r="AV337" s="37">
        <f>G337*AN337</f>
        <v>0</v>
      </c>
      <c r="AW337" s="37">
        <f>G337*AO337</f>
        <v>0</v>
      </c>
      <c r="AX337" s="40" t="s">
        <v>1104</v>
      </c>
      <c r="AY337" s="40" t="s">
        <v>1120</v>
      </c>
      <c r="AZ337" s="36" t="s">
        <v>1122</v>
      </c>
      <c r="BB337" s="37">
        <f t="shared" si="153"/>
        <v>0</v>
      </c>
      <c r="BC337" s="37">
        <f>H337/(100-BD337)*100</f>
        <v>0</v>
      </c>
      <c r="BD337" s="37">
        <v>0</v>
      </c>
      <c r="BE337" s="37">
        <f>337</f>
        <v>337</v>
      </c>
      <c r="BG337" s="21">
        <f>G337*AN337</f>
        <v>0</v>
      </c>
      <c r="BH337" s="21">
        <f>G337*AO337</f>
        <v>0</v>
      </c>
      <c r="BI337" s="21">
        <f>G337*H337</f>
        <v>0</v>
      </c>
      <c r="BJ337" s="21" t="s">
        <v>1127</v>
      </c>
      <c r="BK337" s="37" t="s">
        <v>547</v>
      </c>
    </row>
    <row r="338" spans="1:63" x14ac:dyDescent="0.25">
      <c r="A338" s="6"/>
      <c r="B338" s="15" t="s">
        <v>554</v>
      </c>
      <c r="C338" s="121" t="s">
        <v>939</v>
      </c>
      <c r="D338" s="122"/>
      <c r="E338" s="122"/>
      <c r="F338" s="19" t="s">
        <v>6</v>
      </c>
      <c r="G338" s="19" t="s">
        <v>6</v>
      </c>
      <c r="H338" s="19" t="s">
        <v>6</v>
      </c>
      <c r="I338" s="43">
        <f>SUM(I339:I375)</f>
        <v>0</v>
      </c>
      <c r="J338" s="43">
        <f>SUM(J339:J375)</f>
        <v>0</v>
      </c>
      <c r="K338" s="43">
        <f>SUM(K339:K375)</f>
        <v>0</v>
      </c>
      <c r="L338" s="5"/>
      <c r="AH338" s="36"/>
      <c r="AR338" s="43">
        <f>SUM(AI339:AI375)</f>
        <v>0</v>
      </c>
      <c r="AS338" s="43">
        <f>SUM(AJ339:AJ375)</f>
        <v>0</v>
      </c>
      <c r="AT338" s="43">
        <f>SUM(AK339:AK375)</f>
        <v>0</v>
      </c>
    </row>
    <row r="339" spans="1:63" x14ac:dyDescent="0.25">
      <c r="A339" s="4" t="s">
        <v>237</v>
      </c>
      <c r="B339" s="14" t="s">
        <v>555</v>
      </c>
      <c r="C339" s="117" t="s">
        <v>940</v>
      </c>
      <c r="D339" s="118"/>
      <c r="E339" s="118"/>
      <c r="F339" s="14" t="s">
        <v>1026</v>
      </c>
      <c r="G339" s="21">
        <v>3</v>
      </c>
      <c r="H339" s="21">
        <v>0</v>
      </c>
      <c r="I339" s="21">
        <f>G339*AN339</f>
        <v>0</v>
      </c>
      <c r="J339" s="21">
        <f>G339*AO339</f>
        <v>0</v>
      </c>
      <c r="K339" s="21">
        <f t="shared" ref="K339:K357" si="154">G339*H339</f>
        <v>0</v>
      </c>
      <c r="L339" s="5"/>
      <c r="Y339" s="37">
        <f t="shared" ref="Y339:Y357" si="155">IF(AP339="5",BI339,0)</f>
        <v>0</v>
      </c>
      <c r="AA339" s="37">
        <f t="shared" ref="AA339:AA357" si="156">IF(AP339="1",BG339,0)</f>
        <v>0</v>
      </c>
      <c r="AB339" s="37">
        <f t="shared" ref="AB339:AB357" si="157">IF(AP339="1",BH339,0)</f>
        <v>0</v>
      </c>
      <c r="AC339" s="37">
        <f t="shared" ref="AC339:AC357" si="158">IF(AP339="7",BG339,0)</f>
        <v>0</v>
      </c>
      <c r="AD339" s="37">
        <f t="shared" ref="AD339:AD357" si="159">IF(AP339="7",BH339,0)</f>
        <v>0</v>
      </c>
      <c r="AE339" s="37">
        <f t="shared" ref="AE339:AE357" si="160">IF(AP339="2",BG339,0)</f>
        <v>0</v>
      </c>
      <c r="AF339" s="37">
        <f t="shared" ref="AF339:AF357" si="161">IF(AP339="2",BH339,0)</f>
        <v>0</v>
      </c>
      <c r="AG339" s="37">
        <f t="shared" ref="AG339:AG357" si="162">IF(AP339="0",BI339,0)</f>
        <v>0</v>
      </c>
      <c r="AH339" s="36"/>
      <c r="AI339" s="21">
        <f>IF(AM339=0,K339,0)</f>
        <v>0</v>
      </c>
      <c r="AJ339" s="21">
        <f>IF(AM339=15,K339,0)</f>
        <v>0</v>
      </c>
      <c r="AK339" s="21">
        <f>IF(AM339=21,K339,0)</f>
        <v>0</v>
      </c>
      <c r="AM339" s="37">
        <v>21</v>
      </c>
      <c r="AN339" s="37">
        <f>H339*0.350839694656489</f>
        <v>0</v>
      </c>
      <c r="AO339" s="37">
        <f>H339*(1-0.350839694656489)</f>
        <v>0</v>
      </c>
      <c r="AP339" s="38" t="s">
        <v>8</v>
      </c>
      <c r="AU339" s="37">
        <f t="shared" ref="AU339:AU357" si="163">AV339+AW339</f>
        <v>0</v>
      </c>
      <c r="AV339" s="37">
        <f>G339*AN339</f>
        <v>0</v>
      </c>
      <c r="AW339" s="37">
        <f>G339*AO339</f>
        <v>0</v>
      </c>
      <c r="AX339" s="40" t="s">
        <v>1105</v>
      </c>
      <c r="AY339" s="40" t="s">
        <v>1120</v>
      </c>
      <c r="AZ339" s="36" t="s">
        <v>1122</v>
      </c>
      <c r="BB339" s="37">
        <f t="shared" ref="BB339:BB357" si="164">AV339+AW339</f>
        <v>0</v>
      </c>
      <c r="BC339" s="37">
        <f>H339/(100-BD339)*100</f>
        <v>0</v>
      </c>
      <c r="BD339" s="37">
        <v>0</v>
      </c>
      <c r="BE339" s="37">
        <f>339</f>
        <v>339</v>
      </c>
      <c r="BG339" s="21">
        <f>G339*AN339</f>
        <v>0</v>
      </c>
      <c r="BH339" s="21">
        <f>G339*AO339</f>
        <v>0</v>
      </c>
      <c r="BI339" s="21">
        <f>G339*H339</f>
        <v>0</v>
      </c>
      <c r="BJ339" s="21" t="s">
        <v>1127</v>
      </c>
      <c r="BK339" s="37" t="s">
        <v>554</v>
      </c>
    </row>
    <row r="340" spans="1:63" x14ac:dyDescent="0.25">
      <c r="A340" s="4" t="s">
        <v>238</v>
      </c>
      <c r="B340" s="14" t="s">
        <v>556</v>
      </c>
      <c r="C340" s="117" t="s">
        <v>941</v>
      </c>
      <c r="D340" s="118"/>
      <c r="E340" s="118"/>
      <c r="F340" s="14" t="s">
        <v>1026</v>
      </c>
      <c r="G340" s="21">
        <v>20</v>
      </c>
      <c r="H340" s="21">
        <v>0</v>
      </c>
      <c r="I340" s="21">
        <f>G340*AN340</f>
        <v>0</v>
      </c>
      <c r="J340" s="21">
        <f>G340*AO340</f>
        <v>0</v>
      </c>
      <c r="K340" s="21">
        <f t="shared" si="154"/>
        <v>0</v>
      </c>
      <c r="L340" s="5"/>
      <c r="Y340" s="37">
        <f t="shared" si="155"/>
        <v>0</v>
      </c>
      <c r="AA340" s="37">
        <f t="shared" si="156"/>
        <v>0</v>
      </c>
      <c r="AB340" s="37">
        <f t="shared" si="157"/>
        <v>0</v>
      </c>
      <c r="AC340" s="37">
        <f t="shared" si="158"/>
        <v>0</v>
      </c>
      <c r="AD340" s="37">
        <f t="shared" si="159"/>
        <v>0</v>
      </c>
      <c r="AE340" s="37">
        <f t="shared" si="160"/>
        <v>0</v>
      </c>
      <c r="AF340" s="37">
        <f t="shared" si="161"/>
        <v>0</v>
      </c>
      <c r="AG340" s="37">
        <f t="shared" si="162"/>
        <v>0</v>
      </c>
      <c r="AH340" s="36"/>
      <c r="AI340" s="21">
        <f>IF(AM340=0,K340,0)</f>
        <v>0</v>
      </c>
      <c r="AJ340" s="21">
        <f>IF(AM340=15,K340,0)</f>
        <v>0</v>
      </c>
      <c r="AK340" s="21">
        <f>IF(AM340=21,K340,0)</f>
        <v>0</v>
      </c>
      <c r="AM340" s="37">
        <v>21</v>
      </c>
      <c r="AN340" s="37">
        <f>H340*0.375061728395062</f>
        <v>0</v>
      </c>
      <c r="AO340" s="37">
        <f>H340*(1-0.375061728395062)</f>
        <v>0</v>
      </c>
      <c r="AP340" s="38" t="s">
        <v>8</v>
      </c>
      <c r="AU340" s="37">
        <f t="shared" si="163"/>
        <v>0</v>
      </c>
      <c r="AV340" s="37">
        <f>G340*AN340</f>
        <v>0</v>
      </c>
      <c r="AW340" s="37">
        <f>G340*AO340</f>
        <v>0</v>
      </c>
      <c r="AX340" s="40" t="s">
        <v>1105</v>
      </c>
      <c r="AY340" s="40" t="s">
        <v>1120</v>
      </c>
      <c r="AZ340" s="36" t="s">
        <v>1122</v>
      </c>
      <c r="BB340" s="37">
        <f t="shared" si="164"/>
        <v>0</v>
      </c>
      <c r="BC340" s="37">
        <f>H340/(100-BD340)*100</f>
        <v>0</v>
      </c>
      <c r="BD340" s="37">
        <v>0</v>
      </c>
      <c r="BE340" s="37">
        <f>340</f>
        <v>340</v>
      </c>
      <c r="BG340" s="21">
        <f>G340*AN340</f>
        <v>0</v>
      </c>
      <c r="BH340" s="21">
        <f>G340*AO340</f>
        <v>0</v>
      </c>
      <c r="BI340" s="21">
        <f>G340*H340</f>
        <v>0</v>
      </c>
      <c r="BJ340" s="21" t="s">
        <v>1127</v>
      </c>
      <c r="BK340" s="37" t="s">
        <v>554</v>
      </c>
    </row>
    <row r="341" spans="1:63" x14ac:dyDescent="0.25">
      <c r="A341" s="4" t="s">
        <v>239</v>
      </c>
      <c r="B341" s="14" t="s">
        <v>557</v>
      </c>
      <c r="C341" s="117" t="s">
        <v>942</v>
      </c>
      <c r="D341" s="118"/>
      <c r="E341" s="118"/>
      <c r="F341" s="14" t="s">
        <v>1024</v>
      </c>
      <c r="G341" s="21">
        <v>1</v>
      </c>
      <c r="H341" s="21">
        <v>0</v>
      </c>
      <c r="I341" s="21">
        <f>G341*AN341</f>
        <v>0</v>
      </c>
      <c r="J341" s="21">
        <f>G341*AO341</f>
        <v>0</v>
      </c>
      <c r="K341" s="21">
        <f t="shared" si="154"/>
        <v>0</v>
      </c>
      <c r="L341" s="5"/>
      <c r="Y341" s="37">
        <f t="shared" si="155"/>
        <v>0</v>
      </c>
      <c r="AA341" s="37">
        <f t="shared" si="156"/>
        <v>0</v>
      </c>
      <c r="AB341" s="37">
        <f t="shared" si="157"/>
        <v>0</v>
      </c>
      <c r="AC341" s="37">
        <f t="shared" si="158"/>
        <v>0</v>
      </c>
      <c r="AD341" s="37">
        <f t="shared" si="159"/>
        <v>0</v>
      </c>
      <c r="AE341" s="37">
        <f t="shared" si="160"/>
        <v>0</v>
      </c>
      <c r="AF341" s="37">
        <f t="shared" si="161"/>
        <v>0</v>
      </c>
      <c r="AG341" s="37">
        <f t="shared" si="162"/>
        <v>0</v>
      </c>
      <c r="AH341" s="36"/>
      <c r="AI341" s="21">
        <f>IF(AM341=0,K341,0)</f>
        <v>0</v>
      </c>
      <c r="AJ341" s="21">
        <f>IF(AM341=15,K341,0)</f>
        <v>0</v>
      </c>
      <c r="AK341" s="21">
        <f>IF(AM341=21,K341,0)</f>
        <v>0</v>
      </c>
      <c r="AM341" s="37">
        <v>21</v>
      </c>
      <c r="AN341" s="37">
        <f>H341*0.449760765550239</f>
        <v>0</v>
      </c>
      <c r="AO341" s="37">
        <f>H341*(1-0.449760765550239)</f>
        <v>0</v>
      </c>
      <c r="AP341" s="38" t="s">
        <v>8</v>
      </c>
      <c r="AU341" s="37">
        <f t="shared" si="163"/>
        <v>0</v>
      </c>
      <c r="AV341" s="37">
        <f>G341*AN341</f>
        <v>0</v>
      </c>
      <c r="AW341" s="37">
        <f>G341*AO341</f>
        <v>0</v>
      </c>
      <c r="AX341" s="40" t="s">
        <v>1105</v>
      </c>
      <c r="AY341" s="40" t="s">
        <v>1120</v>
      </c>
      <c r="AZ341" s="36" t="s">
        <v>1122</v>
      </c>
      <c r="BB341" s="37">
        <f t="shared" si="164"/>
        <v>0</v>
      </c>
      <c r="BC341" s="37">
        <f>H341/(100-BD341)*100</f>
        <v>0</v>
      </c>
      <c r="BD341" s="37">
        <v>0</v>
      </c>
      <c r="BE341" s="37">
        <f>341</f>
        <v>341</v>
      </c>
      <c r="BG341" s="21">
        <f>G341*AN341</f>
        <v>0</v>
      </c>
      <c r="BH341" s="21">
        <f>G341*AO341</f>
        <v>0</v>
      </c>
      <c r="BI341" s="21">
        <f>G341*H341</f>
        <v>0</v>
      </c>
      <c r="BJ341" s="21" t="s">
        <v>1127</v>
      </c>
      <c r="BK341" s="37" t="s">
        <v>554</v>
      </c>
    </row>
    <row r="342" spans="1:63" x14ac:dyDescent="0.25">
      <c r="A342" s="4" t="s">
        <v>240</v>
      </c>
      <c r="B342" s="14" t="s">
        <v>558</v>
      </c>
      <c r="C342" s="117" t="s">
        <v>943</v>
      </c>
      <c r="D342" s="118"/>
      <c r="E342" s="118"/>
      <c r="F342" s="14" t="s">
        <v>1024</v>
      </c>
      <c r="G342" s="21">
        <v>4</v>
      </c>
      <c r="H342" s="21">
        <v>0</v>
      </c>
      <c r="I342" s="21">
        <f>G342*AN342</f>
        <v>0</v>
      </c>
      <c r="J342" s="21">
        <f>G342*AO342</f>
        <v>0</v>
      </c>
      <c r="K342" s="21">
        <f t="shared" si="154"/>
        <v>0</v>
      </c>
      <c r="L342" s="5"/>
      <c r="Y342" s="37">
        <f t="shared" si="155"/>
        <v>0</v>
      </c>
      <c r="AA342" s="37">
        <f t="shared" si="156"/>
        <v>0</v>
      </c>
      <c r="AB342" s="37">
        <f t="shared" si="157"/>
        <v>0</v>
      </c>
      <c r="AC342" s="37">
        <f t="shared" si="158"/>
        <v>0</v>
      </c>
      <c r="AD342" s="37">
        <f t="shared" si="159"/>
        <v>0</v>
      </c>
      <c r="AE342" s="37">
        <f t="shared" si="160"/>
        <v>0</v>
      </c>
      <c r="AF342" s="37">
        <f t="shared" si="161"/>
        <v>0</v>
      </c>
      <c r="AG342" s="37">
        <f t="shared" si="162"/>
        <v>0</v>
      </c>
      <c r="AH342" s="36"/>
      <c r="AI342" s="21">
        <f>IF(AM342=0,K342,0)</f>
        <v>0</v>
      </c>
      <c r="AJ342" s="21">
        <f>IF(AM342=15,K342,0)</f>
        <v>0</v>
      </c>
      <c r="AK342" s="21">
        <f>IF(AM342=21,K342,0)</f>
        <v>0</v>
      </c>
      <c r="AM342" s="37">
        <v>21</v>
      </c>
      <c r="AN342" s="37">
        <f>H342*0.0792828685258964</f>
        <v>0</v>
      </c>
      <c r="AO342" s="37">
        <f>H342*(1-0.0792828685258964)</f>
        <v>0</v>
      </c>
      <c r="AP342" s="38" t="s">
        <v>8</v>
      </c>
      <c r="AU342" s="37">
        <f t="shared" si="163"/>
        <v>0</v>
      </c>
      <c r="AV342" s="37">
        <f>G342*AN342</f>
        <v>0</v>
      </c>
      <c r="AW342" s="37">
        <f>G342*AO342</f>
        <v>0</v>
      </c>
      <c r="AX342" s="40" t="s">
        <v>1105</v>
      </c>
      <c r="AY342" s="40" t="s">
        <v>1120</v>
      </c>
      <c r="AZ342" s="36" t="s">
        <v>1122</v>
      </c>
      <c r="BB342" s="37">
        <f t="shared" si="164"/>
        <v>0</v>
      </c>
      <c r="BC342" s="37">
        <f>H342/(100-BD342)*100</f>
        <v>0</v>
      </c>
      <c r="BD342" s="37">
        <v>0</v>
      </c>
      <c r="BE342" s="37">
        <f>342</f>
        <v>342</v>
      </c>
      <c r="BG342" s="21">
        <f>G342*AN342</f>
        <v>0</v>
      </c>
      <c r="BH342" s="21">
        <f>G342*AO342</f>
        <v>0</v>
      </c>
      <c r="BI342" s="21">
        <f>G342*H342</f>
        <v>0</v>
      </c>
      <c r="BJ342" s="21" t="s">
        <v>1127</v>
      </c>
      <c r="BK342" s="37" t="s">
        <v>554</v>
      </c>
    </row>
    <row r="343" spans="1:63" x14ac:dyDescent="0.25">
      <c r="A343" s="4" t="s">
        <v>241</v>
      </c>
      <c r="B343" s="14" t="s">
        <v>559</v>
      </c>
      <c r="C343" s="117" t="s">
        <v>944</v>
      </c>
      <c r="D343" s="118"/>
      <c r="E343" s="118"/>
      <c r="F343" s="14" t="s">
        <v>1024</v>
      </c>
      <c r="G343" s="21">
        <v>4</v>
      </c>
      <c r="H343" s="21">
        <v>0</v>
      </c>
      <c r="I343" s="21">
        <f>G343*AN343</f>
        <v>0</v>
      </c>
      <c r="J343" s="21">
        <f>G343*AO343</f>
        <v>0</v>
      </c>
      <c r="K343" s="21">
        <f t="shared" si="154"/>
        <v>0</v>
      </c>
      <c r="L343" s="5"/>
      <c r="Y343" s="37">
        <f t="shared" si="155"/>
        <v>0</v>
      </c>
      <c r="AA343" s="37">
        <f t="shared" si="156"/>
        <v>0</v>
      </c>
      <c r="AB343" s="37">
        <f t="shared" si="157"/>
        <v>0</v>
      </c>
      <c r="AC343" s="37">
        <f t="shared" si="158"/>
        <v>0</v>
      </c>
      <c r="AD343" s="37">
        <f t="shared" si="159"/>
        <v>0</v>
      </c>
      <c r="AE343" s="37">
        <f t="shared" si="160"/>
        <v>0</v>
      </c>
      <c r="AF343" s="37">
        <f t="shared" si="161"/>
        <v>0</v>
      </c>
      <c r="AG343" s="37">
        <f t="shared" si="162"/>
        <v>0</v>
      </c>
      <c r="AH343" s="36"/>
      <c r="AI343" s="21">
        <f>IF(AM343=0,K343,0)</f>
        <v>0</v>
      </c>
      <c r="AJ343" s="21">
        <f>IF(AM343=15,K343,0)</f>
        <v>0</v>
      </c>
      <c r="AK343" s="21">
        <f>IF(AM343=21,K343,0)</f>
        <v>0</v>
      </c>
      <c r="AM343" s="37">
        <v>21</v>
      </c>
      <c r="AN343" s="37">
        <f>H343*0</f>
        <v>0</v>
      </c>
      <c r="AO343" s="37">
        <f>H343*(1-0)</f>
        <v>0</v>
      </c>
      <c r="AP343" s="38" t="s">
        <v>8</v>
      </c>
      <c r="AU343" s="37">
        <f t="shared" si="163"/>
        <v>0</v>
      </c>
      <c r="AV343" s="37">
        <f>G343*AN343</f>
        <v>0</v>
      </c>
      <c r="AW343" s="37">
        <f>G343*AO343</f>
        <v>0</v>
      </c>
      <c r="AX343" s="40" t="s">
        <v>1105</v>
      </c>
      <c r="AY343" s="40" t="s">
        <v>1120</v>
      </c>
      <c r="AZ343" s="36" t="s">
        <v>1122</v>
      </c>
      <c r="BB343" s="37">
        <f t="shared" si="164"/>
        <v>0</v>
      </c>
      <c r="BC343" s="37">
        <f>H343/(100-BD343)*100</f>
        <v>0</v>
      </c>
      <c r="BD343" s="37">
        <v>0</v>
      </c>
      <c r="BE343" s="37">
        <f>343</f>
        <v>343</v>
      </c>
      <c r="BG343" s="21">
        <f>G343*AN343</f>
        <v>0</v>
      </c>
      <c r="BH343" s="21">
        <f>G343*AO343</f>
        <v>0</v>
      </c>
      <c r="BI343" s="21">
        <f>G343*H343</f>
        <v>0</v>
      </c>
      <c r="BJ343" s="21" t="s">
        <v>1127</v>
      </c>
      <c r="BK343" s="37" t="s">
        <v>554</v>
      </c>
    </row>
    <row r="344" spans="1:63" x14ac:dyDescent="0.25">
      <c r="A344" s="4" t="s">
        <v>242</v>
      </c>
      <c r="B344" s="14" t="s">
        <v>560</v>
      </c>
      <c r="C344" s="117" t="s">
        <v>945</v>
      </c>
      <c r="D344" s="118"/>
      <c r="E344" s="118"/>
      <c r="F344" s="14" t="s">
        <v>1024</v>
      </c>
      <c r="G344" s="21">
        <v>1</v>
      </c>
      <c r="H344" s="21">
        <v>0</v>
      </c>
      <c r="I344" s="21">
        <f>G344*AN344</f>
        <v>0</v>
      </c>
      <c r="J344" s="21">
        <f>G344*AO344</f>
        <v>0</v>
      </c>
      <c r="K344" s="21">
        <f t="shared" si="154"/>
        <v>0</v>
      </c>
      <c r="L344" s="5"/>
      <c r="Y344" s="37">
        <f t="shared" si="155"/>
        <v>0</v>
      </c>
      <c r="AA344" s="37">
        <f t="shared" si="156"/>
        <v>0</v>
      </c>
      <c r="AB344" s="37">
        <f t="shared" si="157"/>
        <v>0</v>
      </c>
      <c r="AC344" s="37">
        <f t="shared" si="158"/>
        <v>0</v>
      </c>
      <c r="AD344" s="37">
        <f t="shared" si="159"/>
        <v>0</v>
      </c>
      <c r="AE344" s="37">
        <f t="shared" si="160"/>
        <v>0</v>
      </c>
      <c r="AF344" s="37">
        <f t="shared" si="161"/>
        <v>0</v>
      </c>
      <c r="AG344" s="37">
        <f t="shared" si="162"/>
        <v>0</v>
      </c>
      <c r="AH344" s="36"/>
      <c r="AI344" s="21">
        <f>IF(AM344=0,K344,0)</f>
        <v>0</v>
      </c>
      <c r="AJ344" s="21">
        <f>IF(AM344=15,K344,0)</f>
        <v>0</v>
      </c>
      <c r="AK344" s="21">
        <f>IF(AM344=21,K344,0)</f>
        <v>0</v>
      </c>
      <c r="AM344" s="37">
        <v>21</v>
      </c>
      <c r="AN344" s="37">
        <f>H344*0.638297872340426</f>
        <v>0</v>
      </c>
      <c r="AO344" s="37">
        <f>H344*(1-0.638297872340426)</f>
        <v>0</v>
      </c>
      <c r="AP344" s="38" t="s">
        <v>8</v>
      </c>
      <c r="AU344" s="37">
        <f t="shared" si="163"/>
        <v>0</v>
      </c>
      <c r="AV344" s="37">
        <f>G344*AN344</f>
        <v>0</v>
      </c>
      <c r="AW344" s="37">
        <f>G344*AO344</f>
        <v>0</v>
      </c>
      <c r="AX344" s="40" t="s">
        <v>1105</v>
      </c>
      <c r="AY344" s="40" t="s">
        <v>1120</v>
      </c>
      <c r="AZ344" s="36" t="s">
        <v>1122</v>
      </c>
      <c r="BB344" s="37">
        <f t="shared" si="164"/>
        <v>0</v>
      </c>
      <c r="BC344" s="37">
        <f>H344/(100-BD344)*100</f>
        <v>0</v>
      </c>
      <c r="BD344" s="37">
        <v>0</v>
      </c>
      <c r="BE344" s="37">
        <f>344</f>
        <v>344</v>
      </c>
      <c r="BG344" s="21">
        <f>G344*AN344</f>
        <v>0</v>
      </c>
      <c r="BH344" s="21">
        <f>G344*AO344</f>
        <v>0</v>
      </c>
      <c r="BI344" s="21">
        <f>G344*H344</f>
        <v>0</v>
      </c>
      <c r="BJ344" s="21" t="s">
        <v>1127</v>
      </c>
      <c r="BK344" s="37" t="s">
        <v>554</v>
      </c>
    </row>
    <row r="345" spans="1:63" x14ac:dyDescent="0.25">
      <c r="A345" s="4" t="s">
        <v>243</v>
      </c>
      <c r="B345" s="14" t="s">
        <v>561</v>
      </c>
      <c r="C345" s="117" t="s">
        <v>946</v>
      </c>
      <c r="D345" s="118"/>
      <c r="E345" s="118"/>
      <c r="F345" s="14" t="s">
        <v>1024</v>
      </c>
      <c r="G345" s="21">
        <v>1</v>
      </c>
      <c r="H345" s="21">
        <v>0</v>
      </c>
      <c r="I345" s="21">
        <f>G345*AN345</f>
        <v>0</v>
      </c>
      <c r="J345" s="21">
        <f>G345*AO345</f>
        <v>0</v>
      </c>
      <c r="K345" s="21">
        <f t="shared" si="154"/>
        <v>0</v>
      </c>
      <c r="L345" s="5"/>
      <c r="Y345" s="37">
        <f t="shared" si="155"/>
        <v>0</v>
      </c>
      <c r="AA345" s="37">
        <f t="shared" si="156"/>
        <v>0</v>
      </c>
      <c r="AB345" s="37">
        <f t="shared" si="157"/>
        <v>0</v>
      </c>
      <c r="AC345" s="37">
        <f t="shared" si="158"/>
        <v>0</v>
      </c>
      <c r="AD345" s="37">
        <f t="shared" si="159"/>
        <v>0</v>
      </c>
      <c r="AE345" s="37">
        <f t="shared" si="160"/>
        <v>0</v>
      </c>
      <c r="AF345" s="37">
        <f t="shared" si="161"/>
        <v>0</v>
      </c>
      <c r="AG345" s="37">
        <f t="shared" si="162"/>
        <v>0</v>
      </c>
      <c r="AH345" s="36"/>
      <c r="AI345" s="21">
        <f>IF(AM345=0,K345,0)</f>
        <v>0</v>
      </c>
      <c r="AJ345" s="21">
        <f>IF(AM345=15,K345,0)</f>
        <v>0</v>
      </c>
      <c r="AK345" s="21">
        <f>IF(AM345=21,K345,0)</f>
        <v>0</v>
      </c>
      <c r="AM345" s="37">
        <v>21</v>
      </c>
      <c r="AN345" s="37">
        <f>H345*0.453296703296703</f>
        <v>0</v>
      </c>
      <c r="AO345" s="37">
        <f>H345*(1-0.453296703296703)</f>
        <v>0</v>
      </c>
      <c r="AP345" s="38" t="s">
        <v>8</v>
      </c>
      <c r="AU345" s="37">
        <f t="shared" si="163"/>
        <v>0</v>
      </c>
      <c r="AV345" s="37">
        <f>G345*AN345</f>
        <v>0</v>
      </c>
      <c r="AW345" s="37">
        <f>G345*AO345</f>
        <v>0</v>
      </c>
      <c r="AX345" s="40" t="s">
        <v>1105</v>
      </c>
      <c r="AY345" s="40" t="s">
        <v>1120</v>
      </c>
      <c r="AZ345" s="36" t="s">
        <v>1122</v>
      </c>
      <c r="BB345" s="37">
        <f t="shared" si="164"/>
        <v>0</v>
      </c>
      <c r="BC345" s="37">
        <f>H345/(100-BD345)*100</f>
        <v>0</v>
      </c>
      <c r="BD345" s="37">
        <v>0</v>
      </c>
      <c r="BE345" s="37">
        <f>345</f>
        <v>345</v>
      </c>
      <c r="BG345" s="21">
        <f>G345*AN345</f>
        <v>0</v>
      </c>
      <c r="BH345" s="21">
        <f>G345*AO345</f>
        <v>0</v>
      </c>
      <c r="BI345" s="21">
        <f>G345*H345</f>
        <v>0</v>
      </c>
      <c r="BJ345" s="21" t="s">
        <v>1127</v>
      </c>
      <c r="BK345" s="37" t="s">
        <v>554</v>
      </c>
    </row>
    <row r="346" spans="1:63" x14ac:dyDescent="0.25">
      <c r="A346" s="4" t="s">
        <v>244</v>
      </c>
      <c r="B346" s="14" t="s">
        <v>562</v>
      </c>
      <c r="C346" s="117" t="s">
        <v>947</v>
      </c>
      <c r="D346" s="118"/>
      <c r="E346" s="118"/>
      <c r="F346" s="14" t="s">
        <v>1024</v>
      </c>
      <c r="G346" s="21">
        <v>8</v>
      </c>
      <c r="H346" s="21">
        <v>0</v>
      </c>
      <c r="I346" s="21">
        <f>G346*AN346</f>
        <v>0</v>
      </c>
      <c r="J346" s="21">
        <f>G346*AO346</f>
        <v>0</v>
      </c>
      <c r="K346" s="21">
        <f t="shared" si="154"/>
        <v>0</v>
      </c>
      <c r="L346" s="5"/>
      <c r="Y346" s="37">
        <f t="shared" si="155"/>
        <v>0</v>
      </c>
      <c r="AA346" s="37">
        <f t="shared" si="156"/>
        <v>0</v>
      </c>
      <c r="AB346" s="37">
        <f t="shared" si="157"/>
        <v>0</v>
      </c>
      <c r="AC346" s="37">
        <f t="shared" si="158"/>
        <v>0</v>
      </c>
      <c r="AD346" s="37">
        <f t="shared" si="159"/>
        <v>0</v>
      </c>
      <c r="AE346" s="37">
        <f t="shared" si="160"/>
        <v>0</v>
      </c>
      <c r="AF346" s="37">
        <f t="shared" si="161"/>
        <v>0</v>
      </c>
      <c r="AG346" s="37">
        <f t="shared" si="162"/>
        <v>0</v>
      </c>
      <c r="AH346" s="36"/>
      <c r="AI346" s="21">
        <f>IF(AM346=0,K346,0)</f>
        <v>0</v>
      </c>
      <c r="AJ346" s="21">
        <f>IF(AM346=15,K346,0)</f>
        <v>0</v>
      </c>
      <c r="AK346" s="21">
        <f>IF(AM346=21,K346,0)</f>
        <v>0</v>
      </c>
      <c r="AM346" s="37">
        <v>21</v>
      </c>
      <c r="AN346" s="37">
        <f>H346*0.348178137651822</f>
        <v>0</v>
      </c>
      <c r="AO346" s="37">
        <f>H346*(1-0.348178137651822)</f>
        <v>0</v>
      </c>
      <c r="AP346" s="38" t="s">
        <v>8</v>
      </c>
      <c r="AU346" s="37">
        <f t="shared" si="163"/>
        <v>0</v>
      </c>
      <c r="AV346" s="37">
        <f>G346*AN346</f>
        <v>0</v>
      </c>
      <c r="AW346" s="37">
        <f>G346*AO346</f>
        <v>0</v>
      </c>
      <c r="AX346" s="40" t="s">
        <v>1105</v>
      </c>
      <c r="AY346" s="40" t="s">
        <v>1120</v>
      </c>
      <c r="AZ346" s="36" t="s">
        <v>1122</v>
      </c>
      <c r="BB346" s="37">
        <f t="shared" si="164"/>
        <v>0</v>
      </c>
      <c r="BC346" s="37">
        <f>H346/(100-BD346)*100</f>
        <v>0</v>
      </c>
      <c r="BD346" s="37">
        <v>0</v>
      </c>
      <c r="BE346" s="37">
        <f>346</f>
        <v>346</v>
      </c>
      <c r="BG346" s="21">
        <f>G346*AN346</f>
        <v>0</v>
      </c>
      <c r="BH346" s="21">
        <f>G346*AO346</f>
        <v>0</v>
      </c>
      <c r="BI346" s="21">
        <f>G346*H346</f>
        <v>0</v>
      </c>
      <c r="BJ346" s="21" t="s">
        <v>1127</v>
      </c>
      <c r="BK346" s="37" t="s">
        <v>554</v>
      </c>
    </row>
    <row r="347" spans="1:63" x14ac:dyDescent="0.25">
      <c r="A347" s="4" t="s">
        <v>245</v>
      </c>
      <c r="B347" s="14" t="s">
        <v>562</v>
      </c>
      <c r="C347" s="117" t="s">
        <v>948</v>
      </c>
      <c r="D347" s="118"/>
      <c r="E347" s="118"/>
      <c r="F347" s="14" t="s">
        <v>1024</v>
      </c>
      <c r="G347" s="21">
        <v>1</v>
      </c>
      <c r="H347" s="21">
        <v>0</v>
      </c>
      <c r="I347" s="21">
        <f>G347*AN347</f>
        <v>0</v>
      </c>
      <c r="J347" s="21">
        <f>G347*AO347</f>
        <v>0</v>
      </c>
      <c r="K347" s="21">
        <f t="shared" si="154"/>
        <v>0</v>
      </c>
      <c r="L347" s="5"/>
      <c r="Y347" s="37">
        <f t="shared" si="155"/>
        <v>0</v>
      </c>
      <c r="AA347" s="37">
        <f t="shared" si="156"/>
        <v>0</v>
      </c>
      <c r="AB347" s="37">
        <f t="shared" si="157"/>
        <v>0</v>
      </c>
      <c r="AC347" s="37">
        <f t="shared" si="158"/>
        <v>0</v>
      </c>
      <c r="AD347" s="37">
        <f t="shared" si="159"/>
        <v>0</v>
      </c>
      <c r="AE347" s="37">
        <f t="shared" si="160"/>
        <v>0</v>
      </c>
      <c r="AF347" s="37">
        <f t="shared" si="161"/>
        <v>0</v>
      </c>
      <c r="AG347" s="37">
        <f t="shared" si="162"/>
        <v>0</v>
      </c>
      <c r="AH347" s="36"/>
      <c r="AI347" s="21">
        <f>IF(AM347=0,K347,0)</f>
        <v>0</v>
      </c>
      <c r="AJ347" s="21">
        <f>IF(AM347=15,K347,0)</f>
        <v>0</v>
      </c>
      <c r="AK347" s="21">
        <f>IF(AM347=21,K347,0)</f>
        <v>0</v>
      </c>
      <c r="AM347" s="37">
        <v>21</v>
      </c>
      <c r="AN347" s="37">
        <f>H347*0.456081081081081</f>
        <v>0</v>
      </c>
      <c r="AO347" s="37">
        <f>H347*(1-0.456081081081081)</f>
        <v>0</v>
      </c>
      <c r="AP347" s="38" t="s">
        <v>8</v>
      </c>
      <c r="AU347" s="37">
        <f t="shared" si="163"/>
        <v>0</v>
      </c>
      <c r="AV347" s="37">
        <f>G347*AN347</f>
        <v>0</v>
      </c>
      <c r="AW347" s="37">
        <f>G347*AO347</f>
        <v>0</v>
      </c>
      <c r="AX347" s="40" t="s">
        <v>1105</v>
      </c>
      <c r="AY347" s="40" t="s">
        <v>1120</v>
      </c>
      <c r="AZ347" s="36" t="s">
        <v>1122</v>
      </c>
      <c r="BB347" s="37">
        <f t="shared" si="164"/>
        <v>0</v>
      </c>
      <c r="BC347" s="37">
        <f>H347/(100-BD347)*100</f>
        <v>0</v>
      </c>
      <c r="BD347" s="37">
        <v>0</v>
      </c>
      <c r="BE347" s="37">
        <f>347</f>
        <v>347</v>
      </c>
      <c r="BG347" s="21">
        <f>G347*AN347</f>
        <v>0</v>
      </c>
      <c r="BH347" s="21">
        <f>G347*AO347</f>
        <v>0</v>
      </c>
      <c r="BI347" s="21">
        <f>G347*H347</f>
        <v>0</v>
      </c>
      <c r="BJ347" s="21" t="s">
        <v>1127</v>
      </c>
      <c r="BK347" s="37" t="s">
        <v>554</v>
      </c>
    </row>
    <row r="348" spans="1:63" x14ac:dyDescent="0.25">
      <c r="A348" s="4" t="s">
        <v>246</v>
      </c>
      <c r="B348" s="14" t="s">
        <v>562</v>
      </c>
      <c r="C348" s="117" t="s">
        <v>949</v>
      </c>
      <c r="D348" s="118"/>
      <c r="E348" s="118"/>
      <c r="F348" s="14" t="s">
        <v>1025</v>
      </c>
      <c r="G348" s="21">
        <v>1</v>
      </c>
      <c r="H348" s="21">
        <v>0</v>
      </c>
      <c r="I348" s="21">
        <f>G348*AN348</f>
        <v>0</v>
      </c>
      <c r="J348" s="21">
        <f>G348*AO348</f>
        <v>0</v>
      </c>
      <c r="K348" s="21">
        <f t="shared" si="154"/>
        <v>0</v>
      </c>
      <c r="L348" s="5"/>
      <c r="Y348" s="37">
        <f t="shared" si="155"/>
        <v>0</v>
      </c>
      <c r="AA348" s="37">
        <f t="shared" si="156"/>
        <v>0</v>
      </c>
      <c r="AB348" s="37">
        <f t="shared" si="157"/>
        <v>0</v>
      </c>
      <c r="AC348" s="37">
        <f t="shared" si="158"/>
        <v>0</v>
      </c>
      <c r="AD348" s="37">
        <f t="shared" si="159"/>
        <v>0</v>
      </c>
      <c r="AE348" s="37">
        <f t="shared" si="160"/>
        <v>0</v>
      </c>
      <c r="AF348" s="37">
        <f t="shared" si="161"/>
        <v>0</v>
      </c>
      <c r="AG348" s="37">
        <f t="shared" si="162"/>
        <v>0</v>
      </c>
      <c r="AH348" s="36"/>
      <c r="AI348" s="21">
        <f>IF(AM348=0,K348,0)</f>
        <v>0</v>
      </c>
      <c r="AJ348" s="21">
        <f>IF(AM348=15,K348,0)</f>
        <v>0</v>
      </c>
      <c r="AK348" s="21">
        <f>IF(AM348=21,K348,0)</f>
        <v>0</v>
      </c>
      <c r="AM348" s="37">
        <v>21</v>
      </c>
      <c r="AN348" s="37">
        <f>H348*0.754573170731707</f>
        <v>0</v>
      </c>
      <c r="AO348" s="37">
        <f>H348*(1-0.754573170731707)</f>
        <v>0</v>
      </c>
      <c r="AP348" s="38" t="s">
        <v>8</v>
      </c>
      <c r="AU348" s="37">
        <f t="shared" si="163"/>
        <v>0</v>
      </c>
      <c r="AV348" s="37">
        <f>G348*AN348</f>
        <v>0</v>
      </c>
      <c r="AW348" s="37">
        <f>G348*AO348</f>
        <v>0</v>
      </c>
      <c r="AX348" s="40" t="s">
        <v>1105</v>
      </c>
      <c r="AY348" s="40" t="s">
        <v>1120</v>
      </c>
      <c r="AZ348" s="36" t="s">
        <v>1122</v>
      </c>
      <c r="BB348" s="37">
        <f t="shared" si="164"/>
        <v>0</v>
      </c>
      <c r="BC348" s="37">
        <f>H348/(100-BD348)*100</f>
        <v>0</v>
      </c>
      <c r="BD348" s="37">
        <v>0</v>
      </c>
      <c r="BE348" s="37">
        <f>348</f>
        <v>348</v>
      </c>
      <c r="BG348" s="21">
        <f>G348*AN348</f>
        <v>0</v>
      </c>
      <c r="BH348" s="21">
        <f>G348*AO348</f>
        <v>0</v>
      </c>
      <c r="BI348" s="21">
        <f>G348*H348</f>
        <v>0</v>
      </c>
      <c r="BJ348" s="21" t="s">
        <v>1127</v>
      </c>
      <c r="BK348" s="37" t="s">
        <v>554</v>
      </c>
    </row>
    <row r="349" spans="1:63" x14ac:dyDescent="0.25">
      <c r="A349" s="4" t="s">
        <v>247</v>
      </c>
      <c r="B349" s="14" t="s">
        <v>562</v>
      </c>
      <c r="C349" s="117" t="s">
        <v>950</v>
      </c>
      <c r="D349" s="118"/>
      <c r="E349" s="118"/>
      <c r="F349" s="14" t="s">
        <v>1025</v>
      </c>
      <c r="G349" s="21">
        <v>1</v>
      </c>
      <c r="H349" s="21">
        <v>0</v>
      </c>
      <c r="I349" s="21">
        <f>G349*AN349</f>
        <v>0</v>
      </c>
      <c r="J349" s="21">
        <f>G349*AO349</f>
        <v>0</v>
      </c>
      <c r="K349" s="21">
        <f t="shared" si="154"/>
        <v>0</v>
      </c>
      <c r="L349" s="5"/>
      <c r="Y349" s="37">
        <f t="shared" si="155"/>
        <v>0</v>
      </c>
      <c r="AA349" s="37">
        <f t="shared" si="156"/>
        <v>0</v>
      </c>
      <c r="AB349" s="37">
        <f t="shared" si="157"/>
        <v>0</v>
      </c>
      <c r="AC349" s="37">
        <f t="shared" si="158"/>
        <v>0</v>
      </c>
      <c r="AD349" s="37">
        <f t="shared" si="159"/>
        <v>0</v>
      </c>
      <c r="AE349" s="37">
        <f t="shared" si="160"/>
        <v>0</v>
      </c>
      <c r="AF349" s="37">
        <f t="shared" si="161"/>
        <v>0</v>
      </c>
      <c r="AG349" s="37">
        <f t="shared" si="162"/>
        <v>0</v>
      </c>
      <c r="AH349" s="36"/>
      <c r="AI349" s="21">
        <f>IF(AM349=0,K349,0)</f>
        <v>0</v>
      </c>
      <c r="AJ349" s="21">
        <f>IF(AM349=15,K349,0)</f>
        <v>0</v>
      </c>
      <c r="AK349" s="21">
        <f>IF(AM349=21,K349,0)</f>
        <v>0</v>
      </c>
      <c r="AM349" s="37">
        <v>21</v>
      </c>
      <c r="AN349" s="37">
        <f>H349*0.754573170731707</f>
        <v>0</v>
      </c>
      <c r="AO349" s="37">
        <f>H349*(1-0.754573170731707)</f>
        <v>0</v>
      </c>
      <c r="AP349" s="38" t="s">
        <v>8</v>
      </c>
      <c r="AU349" s="37">
        <f t="shared" si="163"/>
        <v>0</v>
      </c>
      <c r="AV349" s="37">
        <f>G349*AN349</f>
        <v>0</v>
      </c>
      <c r="AW349" s="37">
        <f>G349*AO349</f>
        <v>0</v>
      </c>
      <c r="AX349" s="40" t="s">
        <v>1105</v>
      </c>
      <c r="AY349" s="40" t="s">
        <v>1120</v>
      </c>
      <c r="AZ349" s="36" t="s">
        <v>1122</v>
      </c>
      <c r="BB349" s="37">
        <f t="shared" si="164"/>
        <v>0</v>
      </c>
      <c r="BC349" s="37">
        <f>H349/(100-BD349)*100</f>
        <v>0</v>
      </c>
      <c r="BD349" s="37">
        <v>0</v>
      </c>
      <c r="BE349" s="37">
        <f>349</f>
        <v>349</v>
      </c>
      <c r="BG349" s="21">
        <f>G349*AN349</f>
        <v>0</v>
      </c>
      <c r="BH349" s="21">
        <f>G349*AO349</f>
        <v>0</v>
      </c>
      <c r="BI349" s="21">
        <f>G349*H349</f>
        <v>0</v>
      </c>
      <c r="BJ349" s="21" t="s">
        <v>1127</v>
      </c>
      <c r="BK349" s="37" t="s">
        <v>554</v>
      </c>
    </row>
    <row r="350" spans="1:63" x14ac:dyDescent="0.25">
      <c r="A350" s="4" t="s">
        <v>248</v>
      </c>
      <c r="B350" s="14" t="s">
        <v>563</v>
      </c>
      <c r="C350" s="117" t="s">
        <v>951</v>
      </c>
      <c r="D350" s="118"/>
      <c r="E350" s="118"/>
      <c r="F350" s="14" t="s">
        <v>1026</v>
      </c>
      <c r="G350" s="21">
        <v>3</v>
      </c>
      <c r="H350" s="21">
        <v>0</v>
      </c>
      <c r="I350" s="21">
        <f>G350*AN350</f>
        <v>0</v>
      </c>
      <c r="J350" s="21">
        <f>G350*AO350</f>
        <v>0</v>
      </c>
      <c r="K350" s="21">
        <f t="shared" si="154"/>
        <v>0</v>
      </c>
      <c r="L350" s="5"/>
      <c r="Y350" s="37">
        <f t="shared" si="155"/>
        <v>0</v>
      </c>
      <c r="AA350" s="37">
        <f t="shared" si="156"/>
        <v>0</v>
      </c>
      <c r="AB350" s="37">
        <f t="shared" si="157"/>
        <v>0</v>
      </c>
      <c r="AC350" s="37">
        <f t="shared" si="158"/>
        <v>0</v>
      </c>
      <c r="AD350" s="37">
        <f t="shared" si="159"/>
        <v>0</v>
      </c>
      <c r="AE350" s="37">
        <f t="shared" si="160"/>
        <v>0</v>
      </c>
      <c r="AF350" s="37">
        <f t="shared" si="161"/>
        <v>0</v>
      </c>
      <c r="AG350" s="37">
        <f t="shared" si="162"/>
        <v>0</v>
      </c>
      <c r="AH350" s="36"/>
      <c r="AI350" s="21">
        <f>IF(AM350=0,K350,0)</f>
        <v>0</v>
      </c>
      <c r="AJ350" s="21">
        <f>IF(AM350=15,K350,0)</f>
        <v>0</v>
      </c>
      <c r="AK350" s="21">
        <f>IF(AM350=21,K350,0)</f>
        <v>0</v>
      </c>
      <c r="AM350" s="37">
        <v>21</v>
      </c>
      <c r="AN350" s="37">
        <f>H350*0.651968736335811</f>
        <v>0</v>
      </c>
      <c r="AO350" s="37">
        <f>H350*(1-0.651968736335811)</f>
        <v>0</v>
      </c>
      <c r="AP350" s="38" t="s">
        <v>8</v>
      </c>
      <c r="AU350" s="37">
        <f t="shared" si="163"/>
        <v>0</v>
      </c>
      <c r="AV350" s="37">
        <f>G350*AN350</f>
        <v>0</v>
      </c>
      <c r="AW350" s="37">
        <f>G350*AO350</f>
        <v>0</v>
      </c>
      <c r="AX350" s="40" t="s">
        <v>1105</v>
      </c>
      <c r="AY350" s="40" t="s">
        <v>1120</v>
      </c>
      <c r="AZ350" s="36" t="s">
        <v>1122</v>
      </c>
      <c r="BB350" s="37">
        <f t="shared" si="164"/>
        <v>0</v>
      </c>
      <c r="BC350" s="37">
        <f>H350/(100-BD350)*100</f>
        <v>0</v>
      </c>
      <c r="BD350" s="37">
        <v>0</v>
      </c>
      <c r="BE350" s="37">
        <f>350</f>
        <v>350</v>
      </c>
      <c r="BG350" s="21">
        <f>G350*AN350</f>
        <v>0</v>
      </c>
      <c r="BH350" s="21">
        <f>G350*AO350</f>
        <v>0</v>
      </c>
      <c r="BI350" s="21">
        <f>G350*H350</f>
        <v>0</v>
      </c>
      <c r="BJ350" s="21" t="s">
        <v>1127</v>
      </c>
      <c r="BK350" s="37" t="s">
        <v>554</v>
      </c>
    </row>
    <row r="351" spans="1:63" x14ac:dyDescent="0.25">
      <c r="A351" s="4" t="s">
        <v>249</v>
      </c>
      <c r="B351" s="14" t="s">
        <v>564</v>
      </c>
      <c r="C351" s="117" t="s">
        <v>952</v>
      </c>
      <c r="D351" s="118"/>
      <c r="E351" s="118"/>
      <c r="F351" s="14" t="s">
        <v>1026</v>
      </c>
      <c r="G351" s="21">
        <v>10</v>
      </c>
      <c r="H351" s="21">
        <v>0</v>
      </c>
      <c r="I351" s="21">
        <f>G351*AN351</f>
        <v>0</v>
      </c>
      <c r="J351" s="21">
        <f>G351*AO351</f>
        <v>0</v>
      </c>
      <c r="K351" s="21">
        <f t="shared" si="154"/>
        <v>0</v>
      </c>
      <c r="L351" s="5"/>
      <c r="Y351" s="37">
        <f t="shared" si="155"/>
        <v>0</v>
      </c>
      <c r="AA351" s="37">
        <f t="shared" si="156"/>
        <v>0</v>
      </c>
      <c r="AB351" s="37">
        <f t="shared" si="157"/>
        <v>0</v>
      </c>
      <c r="AC351" s="37">
        <f t="shared" si="158"/>
        <v>0</v>
      </c>
      <c r="AD351" s="37">
        <f t="shared" si="159"/>
        <v>0</v>
      </c>
      <c r="AE351" s="37">
        <f t="shared" si="160"/>
        <v>0</v>
      </c>
      <c r="AF351" s="37">
        <f t="shared" si="161"/>
        <v>0</v>
      </c>
      <c r="AG351" s="37">
        <f t="shared" si="162"/>
        <v>0</v>
      </c>
      <c r="AH351" s="36"/>
      <c r="AI351" s="21">
        <f>IF(AM351=0,K351,0)</f>
        <v>0</v>
      </c>
      <c r="AJ351" s="21">
        <f>IF(AM351=15,K351,0)</f>
        <v>0</v>
      </c>
      <c r="AK351" s="21">
        <f>IF(AM351=21,K351,0)</f>
        <v>0</v>
      </c>
      <c r="AM351" s="37">
        <v>21</v>
      </c>
      <c r="AN351" s="37">
        <f>H351*0.480549199084668</f>
        <v>0</v>
      </c>
      <c r="AO351" s="37">
        <f>H351*(1-0.480549199084668)</f>
        <v>0</v>
      </c>
      <c r="AP351" s="38" t="s">
        <v>8</v>
      </c>
      <c r="AU351" s="37">
        <f t="shared" si="163"/>
        <v>0</v>
      </c>
      <c r="AV351" s="37">
        <f>G351*AN351</f>
        <v>0</v>
      </c>
      <c r="AW351" s="37">
        <f>G351*AO351</f>
        <v>0</v>
      </c>
      <c r="AX351" s="40" t="s">
        <v>1105</v>
      </c>
      <c r="AY351" s="40" t="s">
        <v>1120</v>
      </c>
      <c r="AZ351" s="36" t="s">
        <v>1122</v>
      </c>
      <c r="BB351" s="37">
        <f t="shared" si="164"/>
        <v>0</v>
      </c>
      <c r="BC351" s="37">
        <f>H351/(100-BD351)*100</f>
        <v>0</v>
      </c>
      <c r="BD351" s="37">
        <v>0</v>
      </c>
      <c r="BE351" s="37">
        <f>351</f>
        <v>351</v>
      </c>
      <c r="BG351" s="21">
        <f>G351*AN351</f>
        <v>0</v>
      </c>
      <c r="BH351" s="21">
        <f>G351*AO351</f>
        <v>0</v>
      </c>
      <c r="BI351" s="21">
        <f>G351*H351</f>
        <v>0</v>
      </c>
      <c r="BJ351" s="21" t="s">
        <v>1127</v>
      </c>
      <c r="BK351" s="37" t="s">
        <v>554</v>
      </c>
    </row>
    <row r="352" spans="1:63" x14ac:dyDescent="0.25">
      <c r="A352" s="4" t="s">
        <v>250</v>
      </c>
      <c r="B352" s="14" t="s">
        <v>565</v>
      </c>
      <c r="C352" s="117" t="s">
        <v>953</v>
      </c>
      <c r="D352" s="118"/>
      <c r="E352" s="118"/>
      <c r="F352" s="14" t="s">
        <v>1026</v>
      </c>
      <c r="G352" s="21">
        <v>90</v>
      </c>
      <c r="H352" s="21">
        <v>0</v>
      </c>
      <c r="I352" s="21">
        <f>G352*AN352</f>
        <v>0</v>
      </c>
      <c r="J352" s="21">
        <f>G352*AO352</f>
        <v>0</v>
      </c>
      <c r="K352" s="21">
        <f t="shared" si="154"/>
        <v>0</v>
      </c>
      <c r="L352" s="5"/>
      <c r="Y352" s="37">
        <f t="shared" si="155"/>
        <v>0</v>
      </c>
      <c r="AA352" s="37">
        <f t="shared" si="156"/>
        <v>0</v>
      </c>
      <c r="AB352" s="37">
        <f t="shared" si="157"/>
        <v>0</v>
      </c>
      <c r="AC352" s="37">
        <f t="shared" si="158"/>
        <v>0</v>
      </c>
      <c r="AD352" s="37">
        <f t="shared" si="159"/>
        <v>0</v>
      </c>
      <c r="AE352" s="37">
        <f t="shared" si="160"/>
        <v>0</v>
      </c>
      <c r="AF352" s="37">
        <f t="shared" si="161"/>
        <v>0</v>
      </c>
      <c r="AG352" s="37">
        <f t="shared" si="162"/>
        <v>0</v>
      </c>
      <c r="AH352" s="36"/>
      <c r="AI352" s="21">
        <f>IF(AM352=0,K352,0)</f>
        <v>0</v>
      </c>
      <c r="AJ352" s="21">
        <f>IF(AM352=15,K352,0)</f>
        <v>0</v>
      </c>
      <c r="AK352" s="21">
        <f>IF(AM352=21,K352,0)</f>
        <v>0</v>
      </c>
      <c r="AM352" s="37">
        <v>21</v>
      </c>
      <c r="AN352" s="37">
        <f>H352*0.625</f>
        <v>0</v>
      </c>
      <c r="AO352" s="37">
        <f>H352*(1-0.625)</f>
        <v>0</v>
      </c>
      <c r="AP352" s="38" t="s">
        <v>8</v>
      </c>
      <c r="AU352" s="37">
        <f t="shared" si="163"/>
        <v>0</v>
      </c>
      <c r="AV352" s="37">
        <f>G352*AN352</f>
        <v>0</v>
      </c>
      <c r="AW352" s="37">
        <f>G352*AO352</f>
        <v>0</v>
      </c>
      <c r="AX352" s="40" t="s">
        <v>1105</v>
      </c>
      <c r="AY352" s="40" t="s">
        <v>1120</v>
      </c>
      <c r="AZ352" s="36" t="s">
        <v>1122</v>
      </c>
      <c r="BB352" s="37">
        <f t="shared" si="164"/>
        <v>0</v>
      </c>
      <c r="BC352" s="37">
        <f>H352/(100-BD352)*100</f>
        <v>0</v>
      </c>
      <c r="BD352" s="37">
        <v>0</v>
      </c>
      <c r="BE352" s="37">
        <f>352</f>
        <v>352</v>
      </c>
      <c r="BG352" s="21">
        <f>G352*AN352</f>
        <v>0</v>
      </c>
      <c r="BH352" s="21">
        <f>G352*AO352</f>
        <v>0</v>
      </c>
      <c r="BI352" s="21">
        <f>G352*H352</f>
        <v>0</v>
      </c>
      <c r="BJ352" s="21" t="s">
        <v>1127</v>
      </c>
      <c r="BK352" s="37" t="s">
        <v>554</v>
      </c>
    </row>
    <row r="353" spans="1:63" x14ac:dyDescent="0.25">
      <c r="A353" s="4" t="s">
        <v>251</v>
      </c>
      <c r="B353" s="14" t="s">
        <v>566</v>
      </c>
      <c r="C353" s="117" t="s">
        <v>954</v>
      </c>
      <c r="D353" s="118"/>
      <c r="E353" s="118"/>
      <c r="F353" s="14" t="s">
        <v>1026</v>
      </c>
      <c r="G353" s="21">
        <v>15</v>
      </c>
      <c r="H353" s="21">
        <v>0</v>
      </c>
      <c r="I353" s="21">
        <f>G353*AN353</f>
        <v>0</v>
      </c>
      <c r="J353" s="21">
        <f>G353*AO353</f>
        <v>0</v>
      </c>
      <c r="K353" s="21">
        <f t="shared" si="154"/>
        <v>0</v>
      </c>
      <c r="L353" s="5"/>
      <c r="Y353" s="37">
        <f t="shared" si="155"/>
        <v>0</v>
      </c>
      <c r="AA353" s="37">
        <f t="shared" si="156"/>
        <v>0</v>
      </c>
      <c r="AB353" s="37">
        <f t="shared" si="157"/>
        <v>0</v>
      </c>
      <c r="AC353" s="37">
        <f t="shared" si="158"/>
        <v>0</v>
      </c>
      <c r="AD353" s="37">
        <f t="shared" si="159"/>
        <v>0</v>
      </c>
      <c r="AE353" s="37">
        <f t="shared" si="160"/>
        <v>0</v>
      </c>
      <c r="AF353" s="37">
        <f t="shared" si="161"/>
        <v>0</v>
      </c>
      <c r="AG353" s="37">
        <f t="shared" si="162"/>
        <v>0</v>
      </c>
      <c r="AH353" s="36"/>
      <c r="AI353" s="21">
        <f>IF(AM353=0,K353,0)</f>
        <v>0</v>
      </c>
      <c r="AJ353" s="21">
        <f>IF(AM353=15,K353,0)</f>
        <v>0</v>
      </c>
      <c r="AK353" s="21">
        <f>IF(AM353=21,K353,0)</f>
        <v>0</v>
      </c>
      <c r="AM353" s="37">
        <v>21</v>
      </c>
      <c r="AN353" s="37">
        <f>H353*0.476366322008863</f>
        <v>0</v>
      </c>
      <c r="AO353" s="37">
        <f>H353*(1-0.476366322008863)</f>
        <v>0</v>
      </c>
      <c r="AP353" s="38" t="s">
        <v>8</v>
      </c>
      <c r="AU353" s="37">
        <f t="shared" si="163"/>
        <v>0</v>
      </c>
      <c r="AV353" s="37">
        <f>G353*AN353</f>
        <v>0</v>
      </c>
      <c r="AW353" s="37">
        <f>G353*AO353</f>
        <v>0</v>
      </c>
      <c r="AX353" s="40" t="s">
        <v>1105</v>
      </c>
      <c r="AY353" s="40" t="s">
        <v>1120</v>
      </c>
      <c r="AZ353" s="36" t="s">
        <v>1122</v>
      </c>
      <c r="BB353" s="37">
        <f t="shared" si="164"/>
        <v>0</v>
      </c>
      <c r="BC353" s="37">
        <f>H353/(100-BD353)*100</f>
        <v>0</v>
      </c>
      <c r="BD353" s="37">
        <v>0</v>
      </c>
      <c r="BE353" s="37">
        <f>353</f>
        <v>353</v>
      </c>
      <c r="BG353" s="21">
        <f>G353*AN353</f>
        <v>0</v>
      </c>
      <c r="BH353" s="21">
        <f>G353*AO353</f>
        <v>0</v>
      </c>
      <c r="BI353" s="21">
        <f>G353*H353</f>
        <v>0</v>
      </c>
      <c r="BJ353" s="21" t="s">
        <v>1127</v>
      </c>
      <c r="BK353" s="37" t="s">
        <v>554</v>
      </c>
    </row>
    <row r="354" spans="1:63" x14ac:dyDescent="0.25">
      <c r="A354" s="4" t="s">
        <v>252</v>
      </c>
      <c r="B354" s="14" t="s">
        <v>567</v>
      </c>
      <c r="C354" s="117" t="s">
        <v>955</v>
      </c>
      <c r="D354" s="118"/>
      <c r="E354" s="118"/>
      <c r="F354" s="14" t="s">
        <v>1026</v>
      </c>
      <c r="G354" s="21">
        <v>90</v>
      </c>
      <c r="H354" s="21">
        <v>0</v>
      </c>
      <c r="I354" s="21">
        <f>G354*AN354</f>
        <v>0</v>
      </c>
      <c r="J354" s="21">
        <f>G354*AO354</f>
        <v>0</v>
      </c>
      <c r="K354" s="21">
        <f t="shared" si="154"/>
        <v>0</v>
      </c>
      <c r="L354" s="5"/>
      <c r="Y354" s="37">
        <f t="shared" si="155"/>
        <v>0</v>
      </c>
      <c r="AA354" s="37">
        <f t="shared" si="156"/>
        <v>0</v>
      </c>
      <c r="AB354" s="37">
        <f t="shared" si="157"/>
        <v>0</v>
      </c>
      <c r="AC354" s="37">
        <f t="shared" si="158"/>
        <v>0</v>
      </c>
      <c r="AD354" s="37">
        <f t="shared" si="159"/>
        <v>0</v>
      </c>
      <c r="AE354" s="37">
        <f t="shared" si="160"/>
        <v>0</v>
      </c>
      <c r="AF354" s="37">
        <f t="shared" si="161"/>
        <v>0</v>
      </c>
      <c r="AG354" s="37">
        <f t="shared" si="162"/>
        <v>0</v>
      </c>
      <c r="AH354" s="36"/>
      <c r="AI354" s="21">
        <f>IF(AM354=0,K354,0)</f>
        <v>0</v>
      </c>
      <c r="AJ354" s="21">
        <f>IF(AM354=15,K354,0)</f>
        <v>0</v>
      </c>
      <c r="AK354" s="21">
        <f>IF(AM354=21,K354,0)</f>
        <v>0</v>
      </c>
      <c r="AM354" s="37">
        <v>21</v>
      </c>
      <c r="AN354" s="37">
        <f>H354*0.583250249252243</f>
        <v>0</v>
      </c>
      <c r="AO354" s="37">
        <f>H354*(1-0.583250249252243)</f>
        <v>0</v>
      </c>
      <c r="AP354" s="38" t="s">
        <v>8</v>
      </c>
      <c r="AU354" s="37">
        <f t="shared" si="163"/>
        <v>0</v>
      </c>
      <c r="AV354" s="37">
        <f>G354*AN354</f>
        <v>0</v>
      </c>
      <c r="AW354" s="37">
        <f>G354*AO354</f>
        <v>0</v>
      </c>
      <c r="AX354" s="40" t="s">
        <v>1105</v>
      </c>
      <c r="AY354" s="40" t="s">
        <v>1120</v>
      </c>
      <c r="AZ354" s="36" t="s">
        <v>1122</v>
      </c>
      <c r="BB354" s="37">
        <f t="shared" si="164"/>
        <v>0</v>
      </c>
      <c r="BC354" s="37">
        <f>H354/(100-BD354)*100</f>
        <v>0</v>
      </c>
      <c r="BD354" s="37">
        <v>0</v>
      </c>
      <c r="BE354" s="37">
        <f>354</f>
        <v>354</v>
      </c>
      <c r="BG354" s="21">
        <f>G354*AN354</f>
        <v>0</v>
      </c>
      <c r="BH354" s="21">
        <f>G354*AO354</f>
        <v>0</v>
      </c>
      <c r="BI354" s="21">
        <f>G354*H354</f>
        <v>0</v>
      </c>
      <c r="BJ354" s="21" t="s">
        <v>1127</v>
      </c>
      <c r="BK354" s="37" t="s">
        <v>554</v>
      </c>
    </row>
    <row r="355" spans="1:63" x14ac:dyDescent="0.25">
      <c r="A355" s="4" t="s">
        <v>253</v>
      </c>
      <c r="B355" s="14" t="s">
        <v>568</v>
      </c>
      <c r="C355" s="117" t="s">
        <v>956</v>
      </c>
      <c r="D355" s="118"/>
      <c r="E355" s="118"/>
      <c r="F355" s="14" t="s">
        <v>1024</v>
      </c>
      <c r="G355" s="21">
        <v>8</v>
      </c>
      <c r="H355" s="21">
        <v>0</v>
      </c>
      <c r="I355" s="21">
        <f>G355*AN355</f>
        <v>0</v>
      </c>
      <c r="J355" s="21">
        <f>G355*AO355</f>
        <v>0</v>
      </c>
      <c r="K355" s="21">
        <f t="shared" si="154"/>
        <v>0</v>
      </c>
      <c r="L355" s="5"/>
      <c r="Y355" s="37">
        <f t="shared" si="155"/>
        <v>0</v>
      </c>
      <c r="AA355" s="37">
        <f t="shared" si="156"/>
        <v>0</v>
      </c>
      <c r="AB355" s="37">
        <f t="shared" si="157"/>
        <v>0</v>
      </c>
      <c r="AC355" s="37">
        <f t="shared" si="158"/>
        <v>0</v>
      </c>
      <c r="AD355" s="37">
        <f t="shared" si="159"/>
        <v>0</v>
      </c>
      <c r="AE355" s="37">
        <f t="shared" si="160"/>
        <v>0</v>
      </c>
      <c r="AF355" s="37">
        <f t="shared" si="161"/>
        <v>0</v>
      </c>
      <c r="AG355" s="37">
        <f t="shared" si="162"/>
        <v>0</v>
      </c>
      <c r="AH355" s="36"/>
      <c r="AI355" s="21">
        <f>IF(AM355=0,K355,0)</f>
        <v>0</v>
      </c>
      <c r="AJ355" s="21">
        <f>IF(AM355=15,K355,0)</f>
        <v>0</v>
      </c>
      <c r="AK355" s="21">
        <f>IF(AM355=21,K355,0)</f>
        <v>0</v>
      </c>
      <c r="AM355" s="37">
        <v>21</v>
      </c>
      <c r="AN355" s="37">
        <f>H355*0.229463414634146</f>
        <v>0</v>
      </c>
      <c r="AO355" s="37">
        <f>H355*(1-0.229463414634146)</f>
        <v>0</v>
      </c>
      <c r="AP355" s="38" t="s">
        <v>8</v>
      </c>
      <c r="AU355" s="37">
        <f t="shared" si="163"/>
        <v>0</v>
      </c>
      <c r="AV355" s="37">
        <f>G355*AN355</f>
        <v>0</v>
      </c>
      <c r="AW355" s="37">
        <f>G355*AO355</f>
        <v>0</v>
      </c>
      <c r="AX355" s="40" t="s">
        <v>1105</v>
      </c>
      <c r="AY355" s="40" t="s">
        <v>1120</v>
      </c>
      <c r="AZ355" s="36" t="s">
        <v>1122</v>
      </c>
      <c r="BB355" s="37">
        <f t="shared" si="164"/>
        <v>0</v>
      </c>
      <c r="BC355" s="37">
        <f>H355/(100-BD355)*100</f>
        <v>0</v>
      </c>
      <c r="BD355" s="37">
        <v>0</v>
      </c>
      <c r="BE355" s="37">
        <f>355</f>
        <v>355</v>
      </c>
      <c r="BG355" s="21">
        <f>G355*AN355</f>
        <v>0</v>
      </c>
      <c r="BH355" s="21">
        <f>G355*AO355</f>
        <v>0</v>
      </c>
      <c r="BI355" s="21">
        <f>G355*H355</f>
        <v>0</v>
      </c>
      <c r="BJ355" s="21" t="s">
        <v>1127</v>
      </c>
      <c r="BK355" s="37" t="s">
        <v>554</v>
      </c>
    </row>
    <row r="356" spans="1:63" x14ac:dyDescent="0.25">
      <c r="A356" s="4" t="s">
        <v>254</v>
      </c>
      <c r="B356" s="14" t="s">
        <v>569</v>
      </c>
      <c r="C356" s="117" t="s">
        <v>957</v>
      </c>
      <c r="D356" s="118"/>
      <c r="E356" s="118"/>
      <c r="F356" s="14" t="s">
        <v>1024</v>
      </c>
      <c r="G356" s="21">
        <v>35</v>
      </c>
      <c r="H356" s="21">
        <v>0</v>
      </c>
      <c r="I356" s="21">
        <f>G356*AN356</f>
        <v>0</v>
      </c>
      <c r="J356" s="21">
        <f>G356*AO356</f>
        <v>0</v>
      </c>
      <c r="K356" s="21">
        <f t="shared" si="154"/>
        <v>0</v>
      </c>
      <c r="L356" s="5"/>
      <c r="Y356" s="37">
        <f t="shared" si="155"/>
        <v>0</v>
      </c>
      <c r="AA356" s="37">
        <f t="shared" si="156"/>
        <v>0</v>
      </c>
      <c r="AB356" s="37">
        <f t="shared" si="157"/>
        <v>0</v>
      </c>
      <c r="AC356" s="37">
        <f t="shared" si="158"/>
        <v>0</v>
      </c>
      <c r="AD356" s="37">
        <f t="shared" si="159"/>
        <v>0</v>
      </c>
      <c r="AE356" s="37">
        <f t="shared" si="160"/>
        <v>0</v>
      </c>
      <c r="AF356" s="37">
        <f t="shared" si="161"/>
        <v>0</v>
      </c>
      <c r="AG356" s="37">
        <f t="shared" si="162"/>
        <v>0</v>
      </c>
      <c r="AH356" s="36"/>
      <c r="AI356" s="21">
        <f>IF(AM356=0,K356,0)</f>
        <v>0</v>
      </c>
      <c r="AJ356" s="21">
        <f>IF(AM356=15,K356,0)</f>
        <v>0</v>
      </c>
      <c r="AK356" s="21">
        <f>IF(AM356=21,K356,0)</f>
        <v>0</v>
      </c>
      <c r="AM356" s="37">
        <v>21</v>
      </c>
      <c r="AN356" s="37">
        <f>H356*0.029547308319739</f>
        <v>0</v>
      </c>
      <c r="AO356" s="37">
        <f>H356*(1-0.029547308319739)</f>
        <v>0</v>
      </c>
      <c r="AP356" s="38" t="s">
        <v>8</v>
      </c>
      <c r="AU356" s="37">
        <f t="shared" si="163"/>
        <v>0</v>
      </c>
      <c r="AV356" s="37">
        <f>G356*AN356</f>
        <v>0</v>
      </c>
      <c r="AW356" s="37">
        <f>G356*AO356</f>
        <v>0</v>
      </c>
      <c r="AX356" s="40" t="s">
        <v>1105</v>
      </c>
      <c r="AY356" s="40" t="s">
        <v>1120</v>
      </c>
      <c r="AZ356" s="36" t="s">
        <v>1122</v>
      </c>
      <c r="BB356" s="37">
        <f t="shared" si="164"/>
        <v>0</v>
      </c>
      <c r="BC356" s="37">
        <f>H356/(100-BD356)*100</f>
        <v>0</v>
      </c>
      <c r="BD356" s="37">
        <v>0</v>
      </c>
      <c r="BE356" s="37">
        <f>356</f>
        <v>356</v>
      </c>
      <c r="BG356" s="21">
        <f>G356*AN356</f>
        <v>0</v>
      </c>
      <c r="BH356" s="21">
        <f>G356*AO356</f>
        <v>0</v>
      </c>
      <c r="BI356" s="21">
        <f>G356*H356</f>
        <v>0</v>
      </c>
      <c r="BJ356" s="21" t="s">
        <v>1127</v>
      </c>
      <c r="BK356" s="37" t="s">
        <v>554</v>
      </c>
    </row>
    <row r="357" spans="1:63" x14ac:dyDescent="0.25">
      <c r="A357" s="4" t="s">
        <v>255</v>
      </c>
      <c r="B357" s="14" t="s">
        <v>570</v>
      </c>
      <c r="C357" s="117" t="s">
        <v>958</v>
      </c>
      <c r="D357" s="118"/>
      <c r="E357" s="118"/>
      <c r="F357" s="14" t="s">
        <v>1024</v>
      </c>
      <c r="G357" s="21">
        <v>1</v>
      </c>
      <c r="H357" s="21">
        <v>0</v>
      </c>
      <c r="I357" s="21">
        <f>G357*AN357</f>
        <v>0</v>
      </c>
      <c r="J357" s="21">
        <f>G357*AO357</f>
        <v>0</v>
      </c>
      <c r="K357" s="21">
        <f t="shared" si="154"/>
        <v>0</v>
      </c>
      <c r="L357" s="5"/>
      <c r="Y357" s="37">
        <f t="shared" si="155"/>
        <v>0</v>
      </c>
      <c r="AA357" s="37">
        <f t="shared" si="156"/>
        <v>0</v>
      </c>
      <c r="AB357" s="37">
        <f t="shared" si="157"/>
        <v>0</v>
      </c>
      <c r="AC357" s="37">
        <f t="shared" si="158"/>
        <v>0</v>
      </c>
      <c r="AD357" s="37">
        <f t="shared" si="159"/>
        <v>0</v>
      </c>
      <c r="AE357" s="37">
        <f t="shared" si="160"/>
        <v>0</v>
      </c>
      <c r="AF357" s="37">
        <f t="shared" si="161"/>
        <v>0</v>
      </c>
      <c r="AG357" s="37">
        <f t="shared" si="162"/>
        <v>0</v>
      </c>
      <c r="AH357" s="36"/>
      <c r="AI357" s="21">
        <f>IF(AM357=0,K357,0)</f>
        <v>0</v>
      </c>
      <c r="AJ357" s="21">
        <f>IF(AM357=15,K357,0)</f>
        <v>0</v>
      </c>
      <c r="AK357" s="21">
        <f>IF(AM357=21,K357,0)</f>
        <v>0</v>
      </c>
      <c r="AM357" s="37">
        <v>21</v>
      </c>
      <c r="AN357" s="37">
        <f>H357*0.87382779198636</f>
        <v>0</v>
      </c>
      <c r="AO357" s="37">
        <f>H357*(1-0.87382779198636)</f>
        <v>0</v>
      </c>
      <c r="AP357" s="38" t="s">
        <v>8</v>
      </c>
      <c r="AU357" s="37">
        <f t="shared" si="163"/>
        <v>0</v>
      </c>
      <c r="AV357" s="37">
        <f>G357*AN357</f>
        <v>0</v>
      </c>
      <c r="AW357" s="37">
        <f>G357*AO357</f>
        <v>0</v>
      </c>
      <c r="AX357" s="40" t="s">
        <v>1105</v>
      </c>
      <c r="AY357" s="40" t="s">
        <v>1120</v>
      </c>
      <c r="AZ357" s="36" t="s">
        <v>1122</v>
      </c>
      <c r="BB357" s="37">
        <f t="shared" si="164"/>
        <v>0</v>
      </c>
      <c r="BC357" s="37">
        <f>H357/(100-BD357)*100</f>
        <v>0</v>
      </c>
      <c r="BD357" s="37">
        <v>0</v>
      </c>
      <c r="BE357" s="37">
        <f>357</f>
        <v>357</v>
      </c>
      <c r="BG357" s="21">
        <f>G357*AN357</f>
        <v>0</v>
      </c>
      <c r="BH357" s="21">
        <f>G357*AO357</f>
        <v>0</v>
      </c>
      <c r="BI357" s="21">
        <f>G357*H357</f>
        <v>0</v>
      </c>
      <c r="BJ357" s="21" t="s">
        <v>1127</v>
      </c>
      <c r="BK357" s="37" t="s">
        <v>554</v>
      </c>
    </row>
    <row r="358" spans="1:63" x14ac:dyDescent="0.25">
      <c r="A358" s="5"/>
      <c r="C358" s="119" t="s">
        <v>959</v>
      </c>
      <c r="D358" s="120"/>
      <c r="E358" s="120"/>
      <c r="G358" s="22">
        <v>0</v>
      </c>
      <c r="L358" s="5"/>
    </row>
    <row r="359" spans="1:63" x14ac:dyDescent="0.25">
      <c r="A359" s="4" t="s">
        <v>256</v>
      </c>
      <c r="B359" s="14" t="s">
        <v>571</v>
      </c>
      <c r="C359" s="117" t="s">
        <v>960</v>
      </c>
      <c r="D359" s="118"/>
      <c r="E359" s="118"/>
      <c r="F359" s="14" t="s">
        <v>1024</v>
      </c>
      <c r="G359" s="21">
        <v>1</v>
      </c>
      <c r="H359" s="21">
        <v>0</v>
      </c>
      <c r="I359" s="21">
        <f>G359*AN359</f>
        <v>0</v>
      </c>
      <c r="J359" s="21">
        <f>G359*AO359</f>
        <v>0</v>
      </c>
      <c r="K359" s="21">
        <f t="shared" ref="K359:K365" si="165">G359*H359</f>
        <v>0</v>
      </c>
      <c r="L359" s="5"/>
      <c r="Y359" s="37">
        <f t="shared" ref="Y359:Y365" si="166">IF(AP359="5",BI359,0)</f>
        <v>0</v>
      </c>
      <c r="AA359" s="37">
        <f t="shared" ref="AA359:AA365" si="167">IF(AP359="1",BG359,0)</f>
        <v>0</v>
      </c>
      <c r="AB359" s="37">
        <f t="shared" ref="AB359:AB365" si="168">IF(AP359="1",BH359,0)</f>
        <v>0</v>
      </c>
      <c r="AC359" s="37">
        <f t="shared" ref="AC359:AC365" si="169">IF(AP359="7",BG359,0)</f>
        <v>0</v>
      </c>
      <c r="AD359" s="37">
        <f t="shared" ref="AD359:AD365" si="170">IF(AP359="7",BH359,0)</f>
        <v>0</v>
      </c>
      <c r="AE359" s="37">
        <f t="shared" ref="AE359:AE365" si="171">IF(AP359="2",BG359,0)</f>
        <v>0</v>
      </c>
      <c r="AF359" s="37">
        <f t="shared" ref="AF359:AF365" si="172">IF(AP359="2",BH359,0)</f>
        <v>0</v>
      </c>
      <c r="AG359" s="37">
        <f t="shared" ref="AG359:AG365" si="173">IF(AP359="0",BI359,0)</f>
        <v>0</v>
      </c>
      <c r="AH359" s="36"/>
      <c r="AI359" s="21">
        <f>IF(AM359=0,K359,0)</f>
        <v>0</v>
      </c>
      <c r="AJ359" s="21">
        <f>IF(AM359=15,K359,0)</f>
        <v>0</v>
      </c>
      <c r="AK359" s="21">
        <f>IF(AM359=21,K359,0)</f>
        <v>0</v>
      </c>
      <c r="AM359" s="37">
        <v>21</v>
      </c>
      <c r="AN359" s="37">
        <f>H359*0.669642857142857</f>
        <v>0</v>
      </c>
      <c r="AO359" s="37">
        <f>H359*(1-0.669642857142857)</f>
        <v>0</v>
      </c>
      <c r="AP359" s="38" t="s">
        <v>8</v>
      </c>
      <c r="AU359" s="37">
        <f t="shared" ref="AU359:AU365" si="174">AV359+AW359</f>
        <v>0</v>
      </c>
      <c r="AV359" s="37">
        <f>G359*AN359</f>
        <v>0</v>
      </c>
      <c r="AW359" s="37">
        <f>G359*AO359</f>
        <v>0</v>
      </c>
      <c r="AX359" s="40" t="s">
        <v>1105</v>
      </c>
      <c r="AY359" s="40" t="s">
        <v>1120</v>
      </c>
      <c r="AZ359" s="36" t="s">
        <v>1122</v>
      </c>
      <c r="BB359" s="37">
        <f t="shared" ref="BB359:BB365" si="175">AV359+AW359</f>
        <v>0</v>
      </c>
      <c r="BC359" s="37">
        <f>H359/(100-BD359)*100</f>
        <v>0</v>
      </c>
      <c r="BD359" s="37">
        <v>0</v>
      </c>
      <c r="BE359" s="37">
        <f>359</f>
        <v>359</v>
      </c>
      <c r="BG359" s="21">
        <f>G359*AN359</f>
        <v>0</v>
      </c>
      <c r="BH359" s="21">
        <f>G359*AO359</f>
        <v>0</v>
      </c>
      <c r="BI359" s="21">
        <f>G359*H359</f>
        <v>0</v>
      </c>
      <c r="BJ359" s="21" t="s">
        <v>1127</v>
      </c>
      <c r="BK359" s="37" t="s">
        <v>554</v>
      </c>
    </row>
    <row r="360" spans="1:63" x14ac:dyDescent="0.25">
      <c r="A360" s="4" t="s">
        <v>257</v>
      </c>
      <c r="B360" s="14" t="s">
        <v>572</v>
      </c>
      <c r="C360" s="117" t="s">
        <v>961</v>
      </c>
      <c r="D360" s="118"/>
      <c r="E360" s="118"/>
      <c r="F360" s="14" t="s">
        <v>1024</v>
      </c>
      <c r="G360" s="21">
        <v>1</v>
      </c>
      <c r="H360" s="21">
        <v>0</v>
      </c>
      <c r="I360" s="21">
        <f>G360*AN360</f>
        <v>0</v>
      </c>
      <c r="J360" s="21">
        <f>G360*AO360</f>
        <v>0</v>
      </c>
      <c r="K360" s="21">
        <f t="shared" si="165"/>
        <v>0</v>
      </c>
      <c r="L360" s="5"/>
      <c r="Y360" s="37">
        <f t="shared" si="166"/>
        <v>0</v>
      </c>
      <c r="AA360" s="37">
        <f t="shared" si="167"/>
        <v>0</v>
      </c>
      <c r="AB360" s="37">
        <f t="shared" si="168"/>
        <v>0</v>
      </c>
      <c r="AC360" s="37">
        <f t="shared" si="169"/>
        <v>0</v>
      </c>
      <c r="AD360" s="37">
        <f t="shared" si="170"/>
        <v>0</v>
      </c>
      <c r="AE360" s="37">
        <f t="shared" si="171"/>
        <v>0</v>
      </c>
      <c r="AF360" s="37">
        <f t="shared" si="172"/>
        <v>0</v>
      </c>
      <c r="AG360" s="37">
        <f t="shared" si="173"/>
        <v>0</v>
      </c>
      <c r="AH360" s="36"/>
      <c r="AI360" s="21">
        <f>IF(AM360=0,K360,0)</f>
        <v>0</v>
      </c>
      <c r="AJ360" s="21">
        <f>IF(AM360=15,K360,0)</f>
        <v>0</v>
      </c>
      <c r="AK360" s="21">
        <f>IF(AM360=21,K360,0)</f>
        <v>0</v>
      </c>
      <c r="AM360" s="37">
        <v>21</v>
      </c>
      <c r="AN360" s="37">
        <f>H360*0.790573111944296</f>
        <v>0</v>
      </c>
      <c r="AO360" s="37">
        <f>H360*(1-0.790573111944296)</f>
        <v>0</v>
      </c>
      <c r="AP360" s="38" t="s">
        <v>8</v>
      </c>
      <c r="AU360" s="37">
        <f t="shared" si="174"/>
        <v>0</v>
      </c>
      <c r="AV360" s="37">
        <f>G360*AN360</f>
        <v>0</v>
      </c>
      <c r="AW360" s="37">
        <f>G360*AO360</f>
        <v>0</v>
      </c>
      <c r="AX360" s="40" t="s">
        <v>1105</v>
      </c>
      <c r="AY360" s="40" t="s">
        <v>1120</v>
      </c>
      <c r="AZ360" s="36" t="s">
        <v>1122</v>
      </c>
      <c r="BB360" s="37">
        <f t="shared" si="175"/>
        <v>0</v>
      </c>
      <c r="BC360" s="37">
        <f>H360/(100-BD360)*100</f>
        <v>0</v>
      </c>
      <c r="BD360" s="37">
        <v>0</v>
      </c>
      <c r="BE360" s="37">
        <f>360</f>
        <v>360</v>
      </c>
      <c r="BG360" s="21">
        <f>G360*AN360</f>
        <v>0</v>
      </c>
      <c r="BH360" s="21">
        <f>G360*AO360</f>
        <v>0</v>
      </c>
      <c r="BI360" s="21">
        <f>G360*H360</f>
        <v>0</v>
      </c>
      <c r="BJ360" s="21" t="s">
        <v>1127</v>
      </c>
      <c r="BK360" s="37" t="s">
        <v>554</v>
      </c>
    </row>
    <row r="361" spans="1:63" x14ac:dyDescent="0.25">
      <c r="A361" s="4" t="s">
        <v>258</v>
      </c>
      <c r="B361" s="14" t="s">
        <v>572</v>
      </c>
      <c r="C361" s="117" t="s">
        <v>962</v>
      </c>
      <c r="D361" s="118"/>
      <c r="E361" s="118"/>
      <c r="F361" s="14" t="s">
        <v>1024</v>
      </c>
      <c r="G361" s="21">
        <v>1</v>
      </c>
      <c r="H361" s="21">
        <v>0</v>
      </c>
      <c r="I361" s="21">
        <f>G361*AN361</f>
        <v>0</v>
      </c>
      <c r="J361" s="21">
        <f>G361*AO361</f>
        <v>0</v>
      </c>
      <c r="K361" s="21">
        <f t="shared" si="165"/>
        <v>0</v>
      </c>
      <c r="L361" s="5"/>
      <c r="Y361" s="37">
        <f t="shared" si="166"/>
        <v>0</v>
      </c>
      <c r="AA361" s="37">
        <f t="shared" si="167"/>
        <v>0</v>
      </c>
      <c r="AB361" s="37">
        <f t="shared" si="168"/>
        <v>0</v>
      </c>
      <c r="AC361" s="37">
        <f t="shared" si="169"/>
        <v>0</v>
      </c>
      <c r="AD361" s="37">
        <f t="shared" si="170"/>
        <v>0</v>
      </c>
      <c r="AE361" s="37">
        <f t="shared" si="171"/>
        <v>0</v>
      </c>
      <c r="AF361" s="37">
        <f t="shared" si="172"/>
        <v>0</v>
      </c>
      <c r="AG361" s="37">
        <f t="shared" si="173"/>
        <v>0</v>
      </c>
      <c r="AH361" s="36"/>
      <c r="AI361" s="21">
        <f>IF(AM361=0,K361,0)</f>
        <v>0</v>
      </c>
      <c r="AJ361" s="21">
        <f>IF(AM361=15,K361,0)</f>
        <v>0</v>
      </c>
      <c r="AK361" s="21">
        <f>IF(AM361=21,K361,0)</f>
        <v>0</v>
      </c>
      <c r="AM361" s="37">
        <v>21</v>
      </c>
      <c r="AN361" s="37">
        <f>H361*0.790573111944296</f>
        <v>0</v>
      </c>
      <c r="AO361" s="37">
        <f>H361*(1-0.790573111944296)</f>
        <v>0</v>
      </c>
      <c r="AP361" s="38" t="s">
        <v>8</v>
      </c>
      <c r="AU361" s="37">
        <f t="shared" si="174"/>
        <v>0</v>
      </c>
      <c r="AV361" s="37">
        <f>G361*AN361</f>
        <v>0</v>
      </c>
      <c r="AW361" s="37">
        <f>G361*AO361</f>
        <v>0</v>
      </c>
      <c r="AX361" s="40" t="s">
        <v>1105</v>
      </c>
      <c r="AY361" s="40" t="s">
        <v>1120</v>
      </c>
      <c r="AZ361" s="36" t="s">
        <v>1122</v>
      </c>
      <c r="BB361" s="37">
        <f t="shared" si="175"/>
        <v>0</v>
      </c>
      <c r="BC361" s="37">
        <f>H361/(100-BD361)*100</f>
        <v>0</v>
      </c>
      <c r="BD361" s="37">
        <v>0</v>
      </c>
      <c r="BE361" s="37">
        <f>361</f>
        <v>361</v>
      </c>
      <c r="BG361" s="21">
        <f>G361*AN361</f>
        <v>0</v>
      </c>
      <c r="BH361" s="21">
        <f>G361*AO361</f>
        <v>0</v>
      </c>
      <c r="BI361" s="21">
        <f>G361*H361</f>
        <v>0</v>
      </c>
      <c r="BJ361" s="21" t="s">
        <v>1127</v>
      </c>
      <c r="BK361" s="37" t="s">
        <v>554</v>
      </c>
    </row>
    <row r="362" spans="1:63" x14ac:dyDescent="0.25">
      <c r="A362" s="4" t="s">
        <v>259</v>
      </c>
      <c r="B362" s="14" t="s">
        <v>573</v>
      </c>
      <c r="C362" s="117" t="s">
        <v>963</v>
      </c>
      <c r="D362" s="118"/>
      <c r="E362" s="118"/>
      <c r="F362" s="14" t="s">
        <v>1024</v>
      </c>
      <c r="G362" s="21">
        <v>4</v>
      </c>
      <c r="H362" s="21">
        <v>0</v>
      </c>
      <c r="I362" s="21">
        <f>G362*AN362</f>
        <v>0</v>
      </c>
      <c r="J362" s="21">
        <f>G362*AO362</f>
        <v>0</v>
      </c>
      <c r="K362" s="21">
        <f t="shared" si="165"/>
        <v>0</v>
      </c>
      <c r="L362" s="5"/>
      <c r="Y362" s="37">
        <f t="shared" si="166"/>
        <v>0</v>
      </c>
      <c r="AA362" s="37">
        <f t="shared" si="167"/>
        <v>0</v>
      </c>
      <c r="AB362" s="37">
        <f t="shared" si="168"/>
        <v>0</v>
      </c>
      <c r="AC362" s="37">
        <f t="shared" si="169"/>
        <v>0</v>
      </c>
      <c r="AD362" s="37">
        <f t="shared" si="170"/>
        <v>0</v>
      </c>
      <c r="AE362" s="37">
        <f t="shared" si="171"/>
        <v>0</v>
      </c>
      <c r="AF362" s="37">
        <f t="shared" si="172"/>
        <v>0</v>
      </c>
      <c r="AG362" s="37">
        <f t="shared" si="173"/>
        <v>0</v>
      </c>
      <c r="AH362" s="36"/>
      <c r="AI362" s="21">
        <f>IF(AM362=0,K362,0)</f>
        <v>0</v>
      </c>
      <c r="AJ362" s="21">
        <f>IF(AM362=15,K362,0)</f>
        <v>0</v>
      </c>
      <c r="AK362" s="21">
        <f>IF(AM362=21,K362,0)</f>
        <v>0</v>
      </c>
      <c r="AM362" s="37">
        <v>21</v>
      </c>
      <c r="AN362" s="37">
        <f>H362*0.560715315835016</f>
        <v>0</v>
      </c>
      <c r="AO362" s="37">
        <f>H362*(1-0.560715315835016)</f>
        <v>0</v>
      </c>
      <c r="AP362" s="38" t="s">
        <v>8</v>
      </c>
      <c r="AU362" s="37">
        <f t="shared" si="174"/>
        <v>0</v>
      </c>
      <c r="AV362" s="37">
        <f>G362*AN362</f>
        <v>0</v>
      </c>
      <c r="AW362" s="37">
        <f>G362*AO362</f>
        <v>0</v>
      </c>
      <c r="AX362" s="40" t="s">
        <v>1105</v>
      </c>
      <c r="AY362" s="40" t="s">
        <v>1120</v>
      </c>
      <c r="AZ362" s="36" t="s">
        <v>1122</v>
      </c>
      <c r="BB362" s="37">
        <f t="shared" si="175"/>
        <v>0</v>
      </c>
      <c r="BC362" s="37">
        <f>H362/(100-BD362)*100</f>
        <v>0</v>
      </c>
      <c r="BD362" s="37">
        <v>0</v>
      </c>
      <c r="BE362" s="37">
        <f>362</f>
        <v>362</v>
      </c>
      <c r="BG362" s="21">
        <f>G362*AN362</f>
        <v>0</v>
      </c>
      <c r="BH362" s="21">
        <f>G362*AO362</f>
        <v>0</v>
      </c>
      <c r="BI362" s="21">
        <f>G362*H362</f>
        <v>0</v>
      </c>
      <c r="BJ362" s="21" t="s">
        <v>1127</v>
      </c>
      <c r="BK362" s="37" t="s">
        <v>554</v>
      </c>
    </row>
    <row r="363" spans="1:63" x14ac:dyDescent="0.25">
      <c r="A363" s="4" t="s">
        <v>260</v>
      </c>
      <c r="B363" s="14" t="s">
        <v>574</v>
      </c>
      <c r="C363" s="117" t="s">
        <v>964</v>
      </c>
      <c r="D363" s="118"/>
      <c r="E363" s="118"/>
      <c r="F363" s="14" t="s">
        <v>1024</v>
      </c>
      <c r="G363" s="21">
        <v>5</v>
      </c>
      <c r="H363" s="21">
        <v>0</v>
      </c>
      <c r="I363" s="21">
        <f>G363*AN363</f>
        <v>0</v>
      </c>
      <c r="J363" s="21">
        <f>G363*AO363</f>
        <v>0</v>
      </c>
      <c r="K363" s="21">
        <f t="shared" si="165"/>
        <v>0</v>
      </c>
      <c r="L363" s="5"/>
      <c r="Y363" s="37">
        <f t="shared" si="166"/>
        <v>0</v>
      </c>
      <c r="AA363" s="37">
        <f t="shared" si="167"/>
        <v>0</v>
      </c>
      <c r="AB363" s="37">
        <f t="shared" si="168"/>
        <v>0</v>
      </c>
      <c r="AC363" s="37">
        <f t="shared" si="169"/>
        <v>0</v>
      </c>
      <c r="AD363" s="37">
        <f t="shared" si="170"/>
        <v>0</v>
      </c>
      <c r="AE363" s="37">
        <f t="shared" si="171"/>
        <v>0</v>
      </c>
      <c r="AF363" s="37">
        <f t="shared" si="172"/>
        <v>0</v>
      </c>
      <c r="AG363" s="37">
        <f t="shared" si="173"/>
        <v>0</v>
      </c>
      <c r="AH363" s="36"/>
      <c r="AI363" s="21">
        <f>IF(AM363=0,K363,0)</f>
        <v>0</v>
      </c>
      <c r="AJ363" s="21">
        <f>IF(AM363=15,K363,0)</f>
        <v>0</v>
      </c>
      <c r="AK363" s="21">
        <f>IF(AM363=21,K363,0)</f>
        <v>0</v>
      </c>
      <c r="AM363" s="37">
        <v>21</v>
      </c>
      <c r="AN363" s="37">
        <f>H363*0.30323275862069</f>
        <v>0</v>
      </c>
      <c r="AO363" s="37">
        <f>H363*(1-0.30323275862069)</f>
        <v>0</v>
      </c>
      <c r="AP363" s="38" t="s">
        <v>8</v>
      </c>
      <c r="AU363" s="37">
        <f t="shared" si="174"/>
        <v>0</v>
      </c>
      <c r="AV363" s="37">
        <f>G363*AN363</f>
        <v>0</v>
      </c>
      <c r="AW363" s="37">
        <f>G363*AO363</f>
        <v>0</v>
      </c>
      <c r="AX363" s="40" t="s">
        <v>1105</v>
      </c>
      <c r="AY363" s="40" t="s">
        <v>1120</v>
      </c>
      <c r="AZ363" s="36" t="s">
        <v>1122</v>
      </c>
      <c r="BB363" s="37">
        <f t="shared" si="175"/>
        <v>0</v>
      </c>
      <c r="BC363" s="37">
        <f>H363/(100-BD363)*100</f>
        <v>0</v>
      </c>
      <c r="BD363" s="37">
        <v>0</v>
      </c>
      <c r="BE363" s="37">
        <f>363</f>
        <v>363</v>
      </c>
      <c r="BG363" s="21">
        <f>G363*AN363</f>
        <v>0</v>
      </c>
      <c r="BH363" s="21">
        <f>G363*AO363</f>
        <v>0</v>
      </c>
      <c r="BI363" s="21">
        <f>G363*H363</f>
        <v>0</v>
      </c>
      <c r="BJ363" s="21" t="s">
        <v>1127</v>
      </c>
      <c r="BK363" s="37" t="s">
        <v>554</v>
      </c>
    </row>
    <row r="364" spans="1:63" x14ac:dyDescent="0.25">
      <c r="A364" s="4" t="s">
        <v>261</v>
      </c>
      <c r="B364" s="14" t="s">
        <v>575</v>
      </c>
      <c r="C364" s="117" t="s">
        <v>965</v>
      </c>
      <c r="D364" s="118"/>
      <c r="E364" s="118"/>
      <c r="F364" s="14" t="s">
        <v>1026</v>
      </c>
      <c r="G364" s="21">
        <v>20</v>
      </c>
      <c r="H364" s="21">
        <v>0</v>
      </c>
      <c r="I364" s="21">
        <f>G364*AN364</f>
        <v>0</v>
      </c>
      <c r="J364" s="21">
        <f>G364*AO364</f>
        <v>0</v>
      </c>
      <c r="K364" s="21">
        <f t="shared" si="165"/>
        <v>0</v>
      </c>
      <c r="L364" s="5"/>
      <c r="Y364" s="37">
        <f t="shared" si="166"/>
        <v>0</v>
      </c>
      <c r="AA364" s="37">
        <f t="shared" si="167"/>
        <v>0</v>
      </c>
      <c r="AB364" s="37">
        <f t="shared" si="168"/>
        <v>0</v>
      </c>
      <c r="AC364" s="37">
        <f t="shared" si="169"/>
        <v>0</v>
      </c>
      <c r="AD364" s="37">
        <f t="shared" si="170"/>
        <v>0</v>
      </c>
      <c r="AE364" s="37">
        <f t="shared" si="171"/>
        <v>0</v>
      </c>
      <c r="AF364" s="37">
        <f t="shared" si="172"/>
        <v>0</v>
      </c>
      <c r="AG364" s="37">
        <f t="shared" si="173"/>
        <v>0</v>
      </c>
      <c r="AH364" s="36"/>
      <c r="AI364" s="21">
        <f>IF(AM364=0,K364,0)</f>
        <v>0</v>
      </c>
      <c r="AJ364" s="21">
        <f>IF(AM364=15,K364,0)</f>
        <v>0</v>
      </c>
      <c r="AK364" s="21">
        <f>IF(AM364=21,K364,0)</f>
        <v>0</v>
      </c>
      <c r="AM364" s="37">
        <v>21</v>
      </c>
      <c r="AN364" s="37">
        <f>H364*0.266192170818505</f>
        <v>0</v>
      </c>
      <c r="AO364" s="37">
        <f>H364*(1-0.266192170818505)</f>
        <v>0</v>
      </c>
      <c r="AP364" s="38" t="s">
        <v>8</v>
      </c>
      <c r="AU364" s="37">
        <f t="shared" si="174"/>
        <v>0</v>
      </c>
      <c r="AV364" s="37">
        <f>G364*AN364</f>
        <v>0</v>
      </c>
      <c r="AW364" s="37">
        <f>G364*AO364</f>
        <v>0</v>
      </c>
      <c r="AX364" s="40" t="s">
        <v>1105</v>
      </c>
      <c r="AY364" s="40" t="s">
        <v>1120</v>
      </c>
      <c r="AZ364" s="36" t="s">
        <v>1122</v>
      </c>
      <c r="BB364" s="37">
        <f t="shared" si="175"/>
        <v>0</v>
      </c>
      <c r="BC364" s="37">
        <f>H364/(100-BD364)*100</f>
        <v>0</v>
      </c>
      <c r="BD364" s="37">
        <v>0</v>
      </c>
      <c r="BE364" s="37">
        <f>364</f>
        <v>364</v>
      </c>
      <c r="BG364" s="21">
        <f>G364*AN364</f>
        <v>0</v>
      </c>
      <c r="BH364" s="21">
        <f>G364*AO364</f>
        <v>0</v>
      </c>
      <c r="BI364" s="21">
        <f>G364*H364</f>
        <v>0</v>
      </c>
      <c r="BJ364" s="21" t="s">
        <v>1127</v>
      </c>
      <c r="BK364" s="37" t="s">
        <v>554</v>
      </c>
    </row>
    <row r="365" spans="1:63" x14ac:dyDescent="0.25">
      <c r="A365" s="4" t="s">
        <v>262</v>
      </c>
      <c r="B365" s="14" t="s">
        <v>576</v>
      </c>
      <c r="C365" s="117" t="s">
        <v>966</v>
      </c>
      <c r="D365" s="118"/>
      <c r="E365" s="118"/>
      <c r="F365" s="14" t="s">
        <v>1024</v>
      </c>
      <c r="G365" s="21">
        <v>1</v>
      </c>
      <c r="H365" s="21">
        <v>0</v>
      </c>
      <c r="I365" s="21">
        <f>G365*AN365</f>
        <v>0</v>
      </c>
      <c r="J365" s="21">
        <f>G365*AO365</f>
        <v>0</v>
      </c>
      <c r="K365" s="21">
        <f t="shared" si="165"/>
        <v>0</v>
      </c>
      <c r="L365" s="5"/>
      <c r="Y365" s="37">
        <f t="shared" si="166"/>
        <v>0</v>
      </c>
      <c r="AA365" s="37">
        <f t="shared" si="167"/>
        <v>0</v>
      </c>
      <c r="AB365" s="37">
        <f t="shared" si="168"/>
        <v>0</v>
      </c>
      <c r="AC365" s="37">
        <f t="shared" si="169"/>
        <v>0</v>
      </c>
      <c r="AD365" s="37">
        <f t="shared" si="170"/>
        <v>0</v>
      </c>
      <c r="AE365" s="37">
        <f t="shared" si="171"/>
        <v>0</v>
      </c>
      <c r="AF365" s="37">
        <f t="shared" si="172"/>
        <v>0</v>
      </c>
      <c r="AG365" s="37">
        <f t="shared" si="173"/>
        <v>0</v>
      </c>
      <c r="AH365" s="36"/>
      <c r="AI365" s="21">
        <f>IF(AM365=0,K365,0)</f>
        <v>0</v>
      </c>
      <c r="AJ365" s="21">
        <f>IF(AM365=15,K365,0)</f>
        <v>0</v>
      </c>
      <c r="AK365" s="21">
        <f>IF(AM365=21,K365,0)</f>
        <v>0</v>
      </c>
      <c r="AM365" s="37">
        <v>21</v>
      </c>
      <c r="AN365" s="37">
        <f>H365*0.785046728971963</f>
        <v>0</v>
      </c>
      <c r="AO365" s="37">
        <f>H365*(1-0.785046728971963)</f>
        <v>0</v>
      </c>
      <c r="AP365" s="38" t="s">
        <v>8</v>
      </c>
      <c r="AU365" s="37">
        <f t="shared" si="174"/>
        <v>0</v>
      </c>
      <c r="AV365" s="37">
        <f>G365*AN365</f>
        <v>0</v>
      </c>
      <c r="AW365" s="37">
        <f>G365*AO365</f>
        <v>0</v>
      </c>
      <c r="AX365" s="40" t="s">
        <v>1105</v>
      </c>
      <c r="AY365" s="40" t="s">
        <v>1120</v>
      </c>
      <c r="AZ365" s="36" t="s">
        <v>1122</v>
      </c>
      <c r="BB365" s="37">
        <f t="shared" si="175"/>
        <v>0</v>
      </c>
      <c r="BC365" s="37">
        <f>H365/(100-BD365)*100</f>
        <v>0</v>
      </c>
      <c r="BD365" s="37">
        <v>0</v>
      </c>
      <c r="BE365" s="37">
        <f>365</f>
        <v>365</v>
      </c>
      <c r="BG365" s="21">
        <f>G365*AN365</f>
        <v>0</v>
      </c>
      <c r="BH365" s="21">
        <f>G365*AO365</f>
        <v>0</v>
      </c>
      <c r="BI365" s="21">
        <f>G365*H365</f>
        <v>0</v>
      </c>
      <c r="BJ365" s="21" t="s">
        <v>1127</v>
      </c>
      <c r="BK365" s="37" t="s">
        <v>554</v>
      </c>
    </row>
    <row r="366" spans="1:63" x14ac:dyDescent="0.25">
      <c r="A366" s="5"/>
      <c r="C366" s="119" t="s">
        <v>959</v>
      </c>
      <c r="D366" s="120"/>
      <c r="E366" s="120"/>
      <c r="G366" s="22">
        <v>0</v>
      </c>
      <c r="L366" s="5"/>
    </row>
    <row r="367" spans="1:63" x14ac:dyDescent="0.25">
      <c r="A367" s="4" t="s">
        <v>263</v>
      </c>
      <c r="B367" s="14" t="s">
        <v>571</v>
      </c>
      <c r="C367" s="117" t="s">
        <v>967</v>
      </c>
      <c r="D367" s="118"/>
      <c r="E367" s="118"/>
      <c r="F367" s="14" t="s">
        <v>1024</v>
      </c>
      <c r="G367" s="21">
        <v>1</v>
      </c>
      <c r="H367" s="21">
        <v>0</v>
      </c>
      <c r="I367" s="21">
        <f>G367*AN367</f>
        <v>0</v>
      </c>
      <c r="J367" s="21">
        <f>G367*AO367</f>
        <v>0</v>
      </c>
      <c r="K367" s="21">
        <f>G367*H367</f>
        <v>0</v>
      </c>
      <c r="L367" s="5"/>
      <c r="Y367" s="37">
        <f>IF(AP367="5",BI367,0)</f>
        <v>0</v>
      </c>
      <c r="AA367" s="37">
        <f>IF(AP367="1",BG367,0)</f>
        <v>0</v>
      </c>
      <c r="AB367" s="37">
        <f>IF(AP367="1",BH367,0)</f>
        <v>0</v>
      </c>
      <c r="AC367" s="37">
        <f>IF(AP367="7",BG367,0)</f>
        <v>0</v>
      </c>
      <c r="AD367" s="37">
        <f>IF(AP367="7",BH367,0)</f>
        <v>0</v>
      </c>
      <c r="AE367" s="37">
        <f>IF(AP367="2",BG367,0)</f>
        <v>0</v>
      </c>
      <c r="AF367" s="37">
        <f>IF(AP367="2",BH367,0)</f>
        <v>0</v>
      </c>
      <c r="AG367" s="37">
        <f>IF(AP367="0",BI367,0)</f>
        <v>0</v>
      </c>
      <c r="AH367" s="36"/>
      <c r="AI367" s="21">
        <f>IF(AM367=0,K367,0)</f>
        <v>0</v>
      </c>
      <c r="AJ367" s="21">
        <f>IF(AM367=15,K367,0)</f>
        <v>0</v>
      </c>
      <c r="AK367" s="21">
        <f>IF(AM367=21,K367,0)</f>
        <v>0</v>
      </c>
      <c r="AM367" s="37">
        <v>21</v>
      </c>
      <c r="AN367" s="37">
        <f>H367*0.112809917355372</f>
        <v>0</v>
      </c>
      <c r="AO367" s="37">
        <f>H367*(1-0.112809917355372)</f>
        <v>0</v>
      </c>
      <c r="AP367" s="38" t="s">
        <v>8</v>
      </c>
      <c r="AU367" s="37">
        <f>AV367+AW367</f>
        <v>0</v>
      </c>
      <c r="AV367" s="37">
        <f>G367*AN367</f>
        <v>0</v>
      </c>
      <c r="AW367" s="37">
        <f>G367*AO367</f>
        <v>0</v>
      </c>
      <c r="AX367" s="40" t="s">
        <v>1105</v>
      </c>
      <c r="AY367" s="40" t="s">
        <v>1120</v>
      </c>
      <c r="AZ367" s="36" t="s">
        <v>1122</v>
      </c>
      <c r="BB367" s="37">
        <f>AV367+AW367</f>
        <v>0</v>
      </c>
      <c r="BC367" s="37">
        <f>H367/(100-BD367)*100</f>
        <v>0</v>
      </c>
      <c r="BD367" s="37">
        <v>0</v>
      </c>
      <c r="BE367" s="37">
        <f>367</f>
        <v>367</v>
      </c>
      <c r="BG367" s="21">
        <f>G367*AN367</f>
        <v>0</v>
      </c>
      <c r="BH367" s="21">
        <f>G367*AO367</f>
        <v>0</v>
      </c>
      <c r="BI367" s="21">
        <f>G367*H367</f>
        <v>0</v>
      </c>
      <c r="BJ367" s="21" t="s">
        <v>1127</v>
      </c>
      <c r="BK367" s="37" t="s">
        <v>554</v>
      </c>
    </row>
    <row r="368" spans="1:63" x14ac:dyDescent="0.25">
      <c r="A368" s="7" t="s">
        <v>264</v>
      </c>
      <c r="B368" s="16" t="s">
        <v>577</v>
      </c>
      <c r="C368" s="123" t="s">
        <v>968</v>
      </c>
      <c r="D368" s="124"/>
      <c r="E368" s="124"/>
      <c r="F368" s="16" t="s">
        <v>1024</v>
      </c>
      <c r="G368" s="23">
        <v>1</v>
      </c>
      <c r="H368" s="23">
        <v>0</v>
      </c>
      <c r="I368" s="23">
        <f>G368*AN368</f>
        <v>0</v>
      </c>
      <c r="J368" s="23">
        <f>G368*AO368</f>
        <v>0</v>
      </c>
      <c r="K368" s="23">
        <f>G368*H368</f>
        <v>0</v>
      </c>
      <c r="L368" s="5"/>
      <c r="Y368" s="37">
        <f>IF(AP368="5",BI368,0)</f>
        <v>0</v>
      </c>
      <c r="AA368" s="37">
        <f>IF(AP368="1",BG368,0)</f>
        <v>0</v>
      </c>
      <c r="AB368" s="37">
        <f>IF(AP368="1",BH368,0)</f>
        <v>0</v>
      </c>
      <c r="AC368" s="37">
        <f>IF(AP368="7",BG368,0)</f>
        <v>0</v>
      </c>
      <c r="AD368" s="37">
        <f>IF(AP368="7",BH368,0)</f>
        <v>0</v>
      </c>
      <c r="AE368" s="37">
        <f>IF(AP368="2",BG368,0)</f>
        <v>0</v>
      </c>
      <c r="AF368" s="37">
        <f>IF(AP368="2",BH368,0)</f>
        <v>0</v>
      </c>
      <c r="AG368" s="37">
        <f>IF(AP368="0",BI368,0)</f>
        <v>0</v>
      </c>
      <c r="AH368" s="36"/>
      <c r="AI368" s="23">
        <f>IF(AM368=0,K368,0)</f>
        <v>0</v>
      </c>
      <c r="AJ368" s="23">
        <f>IF(AM368=15,K368,0)</f>
        <v>0</v>
      </c>
      <c r="AK368" s="23">
        <f>IF(AM368=21,K368,0)</f>
        <v>0</v>
      </c>
      <c r="AM368" s="37">
        <v>21</v>
      </c>
      <c r="AN368" s="37">
        <f>H368*1</f>
        <v>0</v>
      </c>
      <c r="AO368" s="37">
        <f>H368*(1-1)</f>
        <v>0</v>
      </c>
      <c r="AP368" s="39" t="s">
        <v>7</v>
      </c>
      <c r="AU368" s="37">
        <f>AV368+AW368</f>
        <v>0</v>
      </c>
      <c r="AV368" s="37">
        <f>G368*AN368</f>
        <v>0</v>
      </c>
      <c r="AW368" s="37">
        <f>G368*AO368</f>
        <v>0</v>
      </c>
      <c r="AX368" s="40" t="s">
        <v>1105</v>
      </c>
      <c r="AY368" s="40" t="s">
        <v>1120</v>
      </c>
      <c r="AZ368" s="36" t="s">
        <v>1122</v>
      </c>
      <c r="BB368" s="37">
        <f>AV368+AW368</f>
        <v>0</v>
      </c>
      <c r="BC368" s="37">
        <f>H368/(100-BD368)*100</f>
        <v>0</v>
      </c>
      <c r="BD368" s="37">
        <v>0</v>
      </c>
      <c r="BE368" s="37">
        <f>368</f>
        <v>368</v>
      </c>
      <c r="BG368" s="23">
        <f>G368*AN368</f>
        <v>0</v>
      </c>
      <c r="BH368" s="23">
        <f>G368*AO368</f>
        <v>0</v>
      </c>
      <c r="BI368" s="23">
        <f>G368*H368</f>
        <v>0</v>
      </c>
      <c r="BJ368" s="23" t="s">
        <v>1128</v>
      </c>
      <c r="BK368" s="37" t="s">
        <v>554</v>
      </c>
    </row>
    <row r="369" spans="1:63" x14ac:dyDescent="0.25">
      <c r="A369" s="5"/>
      <c r="C369" s="119" t="s">
        <v>959</v>
      </c>
      <c r="D369" s="120"/>
      <c r="E369" s="120"/>
      <c r="G369" s="22">
        <v>0</v>
      </c>
      <c r="L369" s="5"/>
    </row>
    <row r="370" spans="1:63" x14ac:dyDescent="0.25">
      <c r="A370" s="7" t="s">
        <v>265</v>
      </c>
      <c r="B370" s="16" t="s">
        <v>578</v>
      </c>
      <c r="C370" s="123" t="s">
        <v>969</v>
      </c>
      <c r="D370" s="124"/>
      <c r="E370" s="124"/>
      <c r="F370" s="16" t="s">
        <v>1024</v>
      </c>
      <c r="G370" s="23">
        <v>1</v>
      </c>
      <c r="H370" s="23">
        <v>0</v>
      </c>
      <c r="I370" s="23">
        <f>G370*AN370</f>
        <v>0</v>
      </c>
      <c r="J370" s="23">
        <f>G370*AO370</f>
        <v>0</v>
      </c>
      <c r="K370" s="23">
        <f t="shared" ref="K370:K375" si="176">G370*H370</f>
        <v>0</v>
      </c>
      <c r="L370" s="5"/>
      <c r="Y370" s="37">
        <f t="shared" ref="Y370:Y375" si="177">IF(AP370="5",BI370,0)</f>
        <v>0</v>
      </c>
      <c r="AA370" s="37">
        <f t="shared" ref="AA370:AA375" si="178">IF(AP370="1",BG370,0)</f>
        <v>0</v>
      </c>
      <c r="AB370" s="37">
        <f t="shared" ref="AB370:AB375" si="179">IF(AP370="1",BH370,0)</f>
        <v>0</v>
      </c>
      <c r="AC370" s="37">
        <f t="shared" ref="AC370:AC375" si="180">IF(AP370="7",BG370,0)</f>
        <v>0</v>
      </c>
      <c r="AD370" s="37">
        <f t="shared" ref="AD370:AD375" si="181">IF(AP370="7",BH370,0)</f>
        <v>0</v>
      </c>
      <c r="AE370" s="37">
        <f t="shared" ref="AE370:AE375" si="182">IF(AP370="2",BG370,0)</f>
        <v>0</v>
      </c>
      <c r="AF370" s="37">
        <f t="shared" ref="AF370:AF375" si="183">IF(AP370="2",BH370,0)</f>
        <v>0</v>
      </c>
      <c r="AG370" s="37">
        <f t="shared" ref="AG370:AG375" si="184">IF(AP370="0",BI370,0)</f>
        <v>0</v>
      </c>
      <c r="AH370" s="36"/>
      <c r="AI370" s="23">
        <f>IF(AM370=0,K370,0)</f>
        <v>0</v>
      </c>
      <c r="AJ370" s="23">
        <f>IF(AM370=15,K370,0)</f>
        <v>0</v>
      </c>
      <c r="AK370" s="23">
        <f>IF(AM370=21,K370,0)</f>
        <v>0</v>
      </c>
      <c r="AM370" s="37">
        <v>21</v>
      </c>
      <c r="AN370" s="37">
        <f>H370*1</f>
        <v>0</v>
      </c>
      <c r="AO370" s="37">
        <f>H370*(1-1)</f>
        <v>0</v>
      </c>
      <c r="AP370" s="39" t="s">
        <v>7</v>
      </c>
      <c r="AU370" s="37">
        <f t="shared" ref="AU370:AU375" si="185">AV370+AW370</f>
        <v>0</v>
      </c>
      <c r="AV370" s="37">
        <f>G370*AN370</f>
        <v>0</v>
      </c>
      <c r="AW370" s="37">
        <f>G370*AO370</f>
        <v>0</v>
      </c>
      <c r="AX370" s="40" t="s">
        <v>1105</v>
      </c>
      <c r="AY370" s="40" t="s">
        <v>1120</v>
      </c>
      <c r="AZ370" s="36" t="s">
        <v>1122</v>
      </c>
      <c r="BB370" s="37">
        <f t="shared" ref="BB370:BB375" si="186">AV370+AW370</f>
        <v>0</v>
      </c>
      <c r="BC370" s="37">
        <f>H370/(100-BD370)*100</f>
        <v>0</v>
      </c>
      <c r="BD370" s="37">
        <v>0</v>
      </c>
      <c r="BE370" s="37">
        <f>370</f>
        <v>370</v>
      </c>
      <c r="BG370" s="23">
        <f>G370*AN370</f>
        <v>0</v>
      </c>
      <c r="BH370" s="23">
        <f>G370*AO370</f>
        <v>0</v>
      </c>
      <c r="BI370" s="23">
        <f>G370*H370</f>
        <v>0</v>
      </c>
      <c r="BJ370" s="23" t="s">
        <v>1128</v>
      </c>
      <c r="BK370" s="37" t="s">
        <v>554</v>
      </c>
    </row>
    <row r="371" spans="1:63" x14ac:dyDescent="0.25">
      <c r="A371" s="7" t="s">
        <v>266</v>
      </c>
      <c r="B371" s="16" t="s">
        <v>579</v>
      </c>
      <c r="C371" s="123" t="s">
        <v>970</v>
      </c>
      <c r="D371" s="124"/>
      <c r="E371" s="124"/>
      <c r="F371" s="16" t="s">
        <v>1024</v>
      </c>
      <c r="G371" s="23">
        <v>1</v>
      </c>
      <c r="H371" s="23">
        <v>0</v>
      </c>
      <c r="I371" s="23">
        <f>G371*AN371</f>
        <v>0</v>
      </c>
      <c r="J371" s="23">
        <f>G371*AO371</f>
        <v>0</v>
      </c>
      <c r="K371" s="23">
        <f t="shared" si="176"/>
        <v>0</v>
      </c>
      <c r="L371" s="5"/>
      <c r="Y371" s="37">
        <f t="shared" si="177"/>
        <v>0</v>
      </c>
      <c r="AA371" s="37">
        <f t="shared" si="178"/>
        <v>0</v>
      </c>
      <c r="AB371" s="37">
        <f t="shared" si="179"/>
        <v>0</v>
      </c>
      <c r="AC371" s="37">
        <f t="shared" si="180"/>
        <v>0</v>
      </c>
      <c r="AD371" s="37">
        <f t="shared" si="181"/>
        <v>0</v>
      </c>
      <c r="AE371" s="37">
        <f t="shared" si="182"/>
        <v>0</v>
      </c>
      <c r="AF371" s="37">
        <f t="shared" si="183"/>
        <v>0</v>
      </c>
      <c r="AG371" s="37">
        <f t="shared" si="184"/>
        <v>0</v>
      </c>
      <c r="AH371" s="36"/>
      <c r="AI371" s="23">
        <f>IF(AM371=0,K371,0)</f>
        <v>0</v>
      </c>
      <c r="AJ371" s="23">
        <f>IF(AM371=15,K371,0)</f>
        <v>0</v>
      </c>
      <c r="AK371" s="23">
        <f>IF(AM371=21,K371,0)</f>
        <v>0</v>
      </c>
      <c r="AM371" s="37">
        <v>21</v>
      </c>
      <c r="AN371" s="37">
        <f>H371*1</f>
        <v>0</v>
      </c>
      <c r="AO371" s="37">
        <f>H371*(1-1)</f>
        <v>0</v>
      </c>
      <c r="AP371" s="39" t="s">
        <v>7</v>
      </c>
      <c r="AU371" s="37">
        <f t="shared" si="185"/>
        <v>0</v>
      </c>
      <c r="AV371" s="37">
        <f>G371*AN371</f>
        <v>0</v>
      </c>
      <c r="AW371" s="37">
        <f>G371*AO371</f>
        <v>0</v>
      </c>
      <c r="AX371" s="40" t="s">
        <v>1105</v>
      </c>
      <c r="AY371" s="40" t="s">
        <v>1120</v>
      </c>
      <c r="AZ371" s="36" t="s">
        <v>1122</v>
      </c>
      <c r="BB371" s="37">
        <f t="shared" si="186"/>
        <v>0</v>
      </c>
      <c r="BC371" s="37">
        <f>H371/(100-BD371)*100</f>
        <v>0</v>
      </c>
      <c r="BD371" s="37">
        <v>0</v>
      </c>
      <c r="BE371" s="37">
        <f>371</f>
        <v>371</v>
      </c>
      <c r="BG371" s="23">
        <f>G371*AN371</f>
        <v>0</v>
      </c>
      <c r="BH371" s="23">
        <f>G371*AO371</f>
        <v>0</v>
      </c>
      <c r="BI371" s="23">
        <f>G371*H371</f>
        <v>0</v>
      </c>
      <c r="BJ371" s="23" t="s">
        <v>1128</v>
      </c>
      <c r="BK371" s="37" t="s">
        <v>554</v>
      </c>
    </row>
    <row r="372" spans="1:63" x14ac:dyDescent="0.25">
      <c r="A372" s="7" t="s">
        <v>267</v>
      </c>
      <c r="B372" s="16" t="s">
        <v>580</v>
      </c>
      <c r="C372" s="123" t="s">
        <v>971</v>
      </c>
      <c r="D372" s="124"/>
      <c r="E372" s="124"/>
      <c r="F372" s="16" t="s">
        <v>1024</v>
      </c>
      <c r="G372" s="23">
        <v>1</v>
      </c>
      <c r="H372" s="23">
        <v>0</v>
      </c>
      <c r="I372" s="23">
        <f>G372*AN372</f>
        <v>0</v>
      </c>
      <c r="J372" s="23">
        <f>G372*AO372</f>
        <v>0</v>
      </c>
      <c r="K372" s="23">
        <f t="shared" si="176"/>
        <v>0</v>
      </c>
      <c r="L372" s="5"/>
      <c r="Y372" s="37">
        <f t="shared" si="177"/>
        <v>0</v>
      </c>
      <c r="AA372" s="37">
        <f t="shared" si="178"/>
        <v>0</v>
      </c>
      <c r="AB372" s="37">
        <f t="shared" si="179"/>
        <v>0</v>
      </c>
      <c r="AC372" s="37">
        <f t="shared" si="180"/>
        <v>0</v>
      </c>
      <c r="AD372" s="37">
        <f t="shared" si="181"/>
        <v>0</v>
      </c>
      <c r="AE372" s="37">
        <f t="shared" si="182"/>
        <v>0</v>
      </c>
      <c r="AF372" s="37">
        <f t="shared" si="183"/>
        <v>0</v>
      </c>
      <c r="AG372" s="37">
        <f t="shared" si="184"/>
        <v>0</v>
      </c>
      <c r="AH372" s="36"/>
      <c r="AI372" s="23">
        <f>IF(AM372=0,K372,0)</f>
        <v>0</v>
      </c>
      <c r="AJ372" s="23">
        <f>IF(AM372=15,K372,0)</f>
        <v>0</v>
      </c>
      <c r="AK372" s="23">
        <f>IF(AM372=21,K372,0)</f>
        <v>0</v>
      </c>
      <c r="AM372" s="37">
        <v>21</v>
      </c>
      <c r="AN372" s="37">
        <f>H372*1</f>
        <v>0</v>
      </c>
      <c r="AO372" s="37">
        <f>H372*(1-1)</f>
        <v>0</v>
      </c>
      <c r="AP372" s="39" t="s">
        <v>7</v>
      </c>
      <c r="AU372" s="37">
        <f t="shared" si="185"/>
        <v>0</v>
      </c>
      <c r="AV372" s="37">
        <f>G372*AN372</f>
        <v>0</v>
      </c>
      <c r="AW372" s="37">
        <f>G372*AO372</f>
        <v>0</v>
      </c>
      <c r="AX372" s="40" t="s">
        <v>1105</v>
      </c>
      <c r="AY372" s="40" t="s">
        <v>1120</v>
      </c>
      <c r="AZ372" s="36" t="s">
        <v>1122</v>
      </c>
      <c r="BB372" s="37">
        <f t="shared" si="186"/>
        <v>0</v>
      </c>
      <c r="BC372" s="37">
        <f>H372/(100-BD372)*100</f>
        <v>0</v>
      </c>
      <c r="BD372" s="37">
        <v>0</v>
      </c>
      <c r="BE372" s="37">
        <f>372</f>
        <v>372</v>
      </c>
      <c r="BG372" s="23">
        <f>G372*AN372</f>
        <v>0</v>
      </c>
      <c r="BH372" s="23">
        <f>G372*AO372</f>
        <v>0</v>
      </c>
      <c r="BI372" s="23">
        <f>G372*H372</f>
        <v>0</v>
      </c>
      <c r="BJ372" s="23" t="s">
        <v>1128</v>
      </c>
      <c r="BK372" s="37" t="s">
        <v>554</v>
      </c>
    </row>
    <row r="373" spans="1:63" x14ac:dyDescent="0.25">
      <c r="A373" s="4" t="s">
        <v>268</v>
      </c>
      <c r="B373" s="14" t="s">
        <v>581</v>
      </c>
      <c r="C373" s="117" t="s">
        <v>972</v>
      </c>
      <c r="D373" s="118"/>
      <c r="E373" s="118"/>
      <c r="F373" s="14" t="s">
        <v>1024</v>
      </c>
      <c r="G373" s="21">
        <v>1</v>
      </c>
      <c r="H373" s="21">
        <v>0</v>
      </c>
      <c r="I373" s="21">
        <f>G373*AN373</f>
        <v>0</v>
      </c>
      <c r="J373" s="21">
        <f>G373*AO373</f>
        <v>0</v>
      </c>
      <c r="K373" s="21">
        <f t="shared" si="176"/>
        <v>0</v>
      </c>
      <c r="L373" s="5"/>
      <c r="Y373" s="37">
        <f t="shared" si="177"/>
        <v>0</v>
      </c>
      <c r="AA373" s="37">
        <f t="shared" si="178"/>
        <v>0</v>
      </c>
      <c r="AB373" s="37">
        <f t="shared" si="179"/>
        <v>0</v>
      </c>
      <c r="AC373" s="37">
        <f t="shared" si="180"/>
        <v>0</v>
      </c>
      <c r="AD373" s="37">
        <f t="shared" si="181"/>
        <v>0</v>
      </c>
      <c r="AE373" s="37">
        <f t="shared" si="182"/>
        <v>0</v>
      </c>
      <c r="AF373" s="37">
        <f t="shared" si="183"/>
        <v>0</v>
      </c>
      <c r="AG373" s="37">
        <f t="shared" si="184"/>
        <v>0</v>
      </c>
      <c r="AH373" s="36"/>
      <c r="AI373" s="21">
        <f>IF(AM373=0,K373,0)</f>
        <v>0</v>
      </c>
      <c r="AJ373" s="21">
        <f>IF(AM373=15,K373,0)</f>
        <v>0</v>
      </c>
      <c r="AK373" s="21">
        <f>IF(AM373=21,K373,0)</f>
        <v>0</v>
      </c>
      <c r="AM373" s="37">
        <v>21</v>
      </c>
      <c r="AN373" s="37">
        <f>H373*0.919003115264797</f>
        <v>0</v>
      </c>
      <c r="AO373" s="37">
        <f>H373*(1-0.919003115264797)</f>
        <v>0</v>
      </c>
      <c r="AP373" s="38" t="s">
        <v>8</v>
      </c>
      <c r="AU373" s="37">
        <f t="shared" si="185"/>
        <v>0</v>
      </c>
      <c r="AV373" s="37">
        <f>G373*AN373</f>
        <v>0</v>
      </c>
      <c r="AW373" s="37">
        <f>G373*AO373</f>
        <v>0</v>
      </c>
      <c r="AX373" s="40" t="s">
        <v>1105</v>
      </c>
      <c r="AY373" s="40" t="s">
        <v>1120</v>
      </c>
      <c r="AZ373" s="36" t="s">
        <v>1122</v>
      </c>
      <c r="BB373" s="37">
        <f t="shared" si="186"/>
        <v>0</v>
      </c>
      <c r="BC373" s="37">
        <f>H373/(100-BD373)*100</f>
        <v>0</v>
      </c>
      <c r="BD373" s="37">
        <v>0</v>
      </c>
      <c r="BE373" s="37">
        <f>373</f>
        <v>373</v>
      </c>
      <c r="BG373" s="21">
        <f>G373*AN373</f>
        <v>0</v>
      </c>
      <c r="BH373" s="21">
        <f>G373*AO373</f>
        <v>0</v>
      </c>
      <c r="BI373" s="21">
        <f>G373*H373</f>
        <v>0</v>
      </c>
      <c r="BJ373" s="21" t="s">
        <v>1127</v>
      </c>
      <c r="BK373" s="37" t="s">
        <v>554</v>
      </c>
    </row>
    <row r="374" spans="1:63" x14ac:dyDescent="0.25">
      <c r="A374" s="7" t="s">
        <v>269</v>
      </c>
      <c r="B374" s="16" t="s">
        <v>582</v>
      </c>
      <c r="C374" s="123" t="s">
        <v>973</v>
      </c>
      <c r="D374" s="124"/>
      <c r="E374" s="124"/>
      <c r="F374" s="16" t="s">
        <v>1024</v>
      </c>
      <c r="G374" s="23">
        <v>1</v>
      </c>
      <c r="H374" s="23">
        <v>0</v>
      </c>
      <c r="I374" s="23">
        <f>G374*AN374</f>
        <v>0</v>
      </c>
      <c r="J374" s="23">
        <f>G374*AO374</f>
        <v>0</v>
      </c>
      <c r="K374" s="23">
        <f t="shared" si="176"/>
        <v>0</v>
      </c>
      <c r="L374" s="5"/>
      <c r="Y374" s="37">
        <f t="shared" si="177"/>
        <v>0</v>
      </c>
      <c r="AA374" s="37">
        <f t="shared" si="178"/>
        <v>0</v>
      </c>
      <c r="AB374" s="37">
        <f t="shared" si="179"/>
        <v>0</v>
      </c>
      <c r="AC374" s="37">
        <f t="shared" si="180"/>
        <v>0</v>
      </c>
      <c r="AD374" s="37">
        <f t="shared" si="181"/>
        <v>0</v>
      </c>
      <c r="AE374" s="37">
        <f t="shared" si="182"/>
        <v>0</v>
      </c>
      <c r="AF374" s="37">
        <f t="shared" si="183"/>
        <v>0</v>
      </c>
      <c r="AG374" s="37">
        <f t="shared" si="184"/>
        <v>0</v>
      </c>
      <c r="AH374" s="36"/>
      <c r="AI374" s="23">
        <f>IF(AM374=0,K374,0)</f>
        <v>0</v>
      </c>
      <c r="AJ374" s="23">
        <f>IF(AM374=15,K374,0)</f>
        <v>0</v>
      </c>
      <c r="AK374" s="23">
        <f>IF(AM374=21,K374,0)</f>
        <v>0</v>
      </c>
      <c r="AM374" s="37">
        <v>21</v>
      </c>
      <c r="AN374" s="37">
        <f>H374*1</f>
        <v>0</v>
      </c>
      <c r="AO374" s="37">
        <f>H374*(1-1)</f>
        <v>0</v>
      </c>
      <c r="AP374" s="39" t="s">
        <v>7</v>
      </c>
      <c r="AU374" s="37">
        <f t="shared" si="185"/>
        <v>0</v>
      </c>
      <c r="AV374" s="37">
        <f>G374*AN374</f>
        <v>0</v>
      </c>
      <c r="AW374" s="37">
        <f>G374*AO374</f>
        <v>0</v>
      </c>
      <c r="AX374" s="40" t="s">
        <v>1105</v>
      </c>
      <c r="AY374" s="40" t="s">
        <v>1120</v>
      </c>
      <c r="AZ374" s="36" t="s">
        <v>1122</v>
      </c>
      <c r="BB374" s="37">
        <f t="shared" si="186"/>
        <v>0</v>
      </c>
      <c r="BC374" s="37">
        <f>H374/(100-BD374)*100</f>
        <v>0</v>
      </c>
      <c r="BD374" s="37">
        <v>0</v>
      </c>
      <c r="BE374" s="37">
        <f>374</f>
        <v>374</v>
      </c>
      <c r="BG374" s="23">
        <f>G374*AN374</f>
        <v>0</v>
      </c>
      <c r="BH374" s="23">
        <f>G374*AO374</f>
        <v>0</v>
      </c>
      <c r="BI374" s="23">
        <f>G374*H374</f>
        <v>0</v>
      </c>
      <c r="BJ374" s="23" t="s">
        <v>1128</v>
      </c>
      <c r="BK374" s="37" t="s">
        <v>554</v>
      </c>
    </row>
    <row r="375" spans="1:63" x14ac:dyDescent="0.25">
      <c r="A375" s="4" t="s">
        <v>270</v>
      </c>
      <c r="B375" s="14" t="s">
        <v>583</v>
      </c>
      <c r="C375" s="117" t="s">
        <v>974</v>
      </c>
      <c r="D375" s="118"/>
      <c r="E375" s="118"/>
      <c r="F375" s="14" t="s">
        <v>1024</v>
      </c>
      <c r="G375" s="21">
        <v>30</v>
      </c>
      <c r="H375" s="21">
        <v>0</v>
      </c>
      <c r="I375" s="21">
        <f>G375*AN375</f>
        <v>0</v>
      </c>
      <c r="J375" s="21">
        <f>G375*AO375</f>
        <v>0</v>
      </c>
      <c r="K375" s="21">
        <f t="shared" si="176"/>
        <v>0</v>
      </c>
      <c r="L375" s="5"/>
      <c r="Y375" s="37">
        <f t="shared" si="177"/>
        <v>0</v>
      </c>
      <c r="AA375" s="37">
        <f t="shared" si="178"/>
        <v>0</v>
      </c>
      <c r="AB375" s="37">
        <f t="shared" si="179"/>
        <v>0</v>
      </c>
      <c r="AC375" s="37">
        <f t="shared" si="180"/>
        <v>0</v>
      </c>
      <c r="AD375" s="37">
        <f t="shared" si="181"/>
        <v>0</v>
      </c>
      <c r="AE375" s="37">
        <f t="shared" si="182"/>
        <v>0</v>
      </c>
      <c r="AF375" s="37">
        <f t="shared" si="183"/>
        <v>0</v>
      </c>
      <c r="AG375" s="37">
        <f t="shared" si="184"/>
        <v>0</v>
      </c>
      <c r="AH375" s="36"/>
      <c r="AI375" s="21">
        <f>IF(AM375=0,K375,0)</f>
        <v>0</v>
      </c>
      <c r="AJ375" s="21">
        <f>IF(AM375=15,K375,0)</f>
        <v>0</v>
      </c>
      <c r="AK375" s="21">
        <f>IF(AM375=21,K375,0)</f>
        <v>0</v>
      </c>
      <c r="AM375" s="37">
        <v>21</v>
      </c>
      <c r="AN375" s="37">
        <f>H375*0.351912568306011</f>
        <v>0</v>
      </c>
      <c r="AO375" s="37">
        <f>H375*(1-0.351912568306011)</f>
        <v>0</v>
      </c>
      <c r="AP375" s="38" t="s">
        <v>8</v>
      </c>
      <c r="AU375" s="37">
        <f t="shared" si="185"/>
        <v>0</v>
      </c>
      <c r="AV375" s="37">
        <f>G375*AN375</f>
        <v>0</v>
      </c>
      <c r="AW375" s="37">
        <f>G375*AO375</f>
        <v>0</v>
      </c>
      <c r="AX375" s="40" t="s">
        <v>1105</v>
      </c>
      <c r="AY375" s="40" t="s">
        <v>1120</v>
      </c>
      <c r="AZ375" s="36" t="s">
        <v>1122</v>
      </c>
      <c r="BB375" s="37">
        <f t="shared" si="186"/>
        <v>0</v>
      </c>
      <c r="BC375" s="37">
        <f>H375/(100-BD375)*100</f>
        <v>0</v>
      </c>
      <c r="BD375" s="37">
        <v>0</v>
      </c>
      <c r="BE375" s="37">
        <f>375</f>
        <v>375</v>
      </c>
      <c r="BG375" s="21">
        <f>G375*AN375</f>
        <v>0</v>
      </c>
      <c r="BH375" s="21">
        <f>G375*AO375</f>
        <v>0</v>
      </c>
      <c r="BI375" s="21">
        <f>G375*H375</f>
        <v>0</v>
      </c>
      <c r="BJ375" s="21" t="s">
        <v>1127</v>
      </c>
      <c r="BK375" s="37" t="s">
        <v>554</v>
      </c>
    </row>
    <row r="376" spans="1:63" x14ac:dyDescent="0.25">
      <c r="A376" s="6"/>
      <c r="B376" s="15" t="s">
        <v>584</v>
      </c>
      <c r="C376" s="121" t="s">
        <v>975</v>
      </c>
      <c r="D376" s="122"/>
      <c r="E376" s="122"/>
      <c r="F376" s="19" t="s">
        <v>6</v>
      </c>
      <c r="G376" s="19" t="s">
        <v>6</v>
      </c>
      <c r="H376" s="19" t="s">
        <v>6</v>
      </c>
      <c r="I376" s="43">
        <f>SUM(I377:I391)</f>
        <v>0</v>
      </c>
      <c r="J376" s="43">
        <f>SUM(J377:J391)</f>
        <v>0</v>
      </c>
      <c r="K376" s="43">
        <f>SUM(K377:K391)</f>
        <v>0</v>
      </c>
      <c r="L376" s="5"/>
      <c r="AH376" s="36"/>
      <c r="AR376" s="43">
        <f>SUM(AI377:AI391)</f>
        <v>0</v>
      </c>
      <c r="AS376" s="43">
        <f>SUM(AJ377:AJ391)</f>
        <v>0</v>
      </c>
      <c r="AT376" s="43">
        <f>SUM(AK377:AK391)</f>
        <v>0</v>
      </c>
    </row>
    <row r="377" spans="1:63" x14ac:dyDescent="0.25">
      <c r="A377" s="4" t="s">
        <v>271</v>
      </c>
      <c r="B377" s="14" t="s">
        <v>585</v>
      </c>
      <c r="C377" s="117" t="s">
        <v>976</v>
      </c>
      <c r="D377" s="118"/>
      <c r="E377" s="118"/>
      <c r="F377" s="14" t="s">
        <v>1026</v>
      </c>
      <c r="G377" s="21">
        <v>14</v>
      </c>
      <c r="H377" s="21">
        <v>0</v>
      </c>
      <c r="I377" s="21">
        <f>G377*AN377</f>
        <v>0</v>
      </c>
      <c r="J377" s="21">
        <f>G377*AO377</f>
        <v>0</v>
      </c>
      <c r="K377" s="21">
        <f t="shared" ref="K377:K384" si="187">G377*H377</f>
        <v>0</v>
      </c>
      <c r="L377" s="5"/>
      <c r="Y377" s="37">
        <f t="shared" ref="Y377:Y384" si="188">IF(AP377="5",BI377,0)</f>
        <v>0</v>
      </c>
      <c r="AA377" s="37">
        <f t="shared" ref="AA377:AA384" si="189">IF(AP377="1",BG377,0)</f>
        <v>0</v>
      </c>
      <c r="AB377" s="37">
        <f t="shared" ref="AB377:AB384" si="190">IF(AP377="1",BH377,0)</f>
        <v>0</v>
      </c>
      <c r="AC377" s="37">
        <f t="shared" ref="AC377:AC384" si="191">IF(AP377="7",BG377,0)</f>
        <v>0</v>
      </c>
      <c r="AD377" s="37">
        <f t="shared" ref="AD377:AD384" si="192">IF(AP377="7",BH377,0)</f>
        <v>0</v>
      </c>
      <c r="AE377" s="37">
        <f t="shared" ref="AE377:AE384" si="193">IF(AP377="2",BG377,0)</f>
        <v>0</v>
      </c>
      <c r="AF377" s="37">
        <f t="shared" ref="AF377:AF384" si="194">IF(AP377="2",BH377,0)</f>
        <v>0</v>
      </c>
      <c r="AG377" s="37">
        <f t="shared" ref="AG377:AG384" si="195">IF(AP377="0",BI377,0)</f>
        <v>0</v>
      </c>
      <c r="AH377" s="36"/>
      <c r="AI377" s="21">
        <f>IF(AM377=0,K377,0)</f>
        <v>0</v>
      </c>
      <c r="AJ377" s="21">
        <f>IF(AM377=15,K377,0)</f>
        <v>0</v>
      </c>
      <c r="AK377" s="21">
        <f>IF(AM377=21,K377,0)</f>
        <v>0</v>
      </c>
      <c r="AM377" s="37">
        <v>21</v>
      </c>
      <c r="AN377" s="37">
        <f>H377*0.478048780487805</f>
        <v>0</v>
      </c>
      <c r="AO377" s="37">
        <f>H377*(1-0.478048780487805)</f>
        <v>0</v>
      </c>
      <c r="AP377" s="38" t="s">
        <v>8</v>
      </c>
      <c r="AU377" s="37">
        <f t="shared" ref="AU377:AU384" si="196">AV377+AW377</f>
        <v>0</v>
      </c>
      <c r="AV377" s="37">
        <f>G377*AN377</f>
        <v>0</v>
      </c>
      <c r="AW377" s="37">
        <f>G377*AO377</f>
        <v>0</v>
      </c>
      <c r="AX377" s="40" t="s">
        <v>1106</v>
      </c>
      <c r="AY377" s="40" t="s">
        <v>1120</v>
      </c>
      <c r="AZ377" s="36" t="s">
        <v>1122</v>
      </c>
      <c r="BB377" s="37">
        <f t="shared" ref="BB377:BB384" si="197">AV377+AW377</f>
        <v>0</v>
      </c>
      <c r="BC377" s="37">
        <f>H377/(100-BD377)*100</f>
        <v>0</v>
      </c>
      <c r="BD377" s="37">
        <v>0</v>
      </c>
      <c r="BE377" s="37">
        <f>377</f>
        <v>377</v>
      </c>
      <c r="BG377" s="21">
        <f>G377*AN377</f>
        <v>0</v>
      </c>
      <c r="BH377" s="21">
        <f>G377*AO377</f>
        <v>0</v>
      </c>
      <c r="BI377" s="21">
        <f>G377*H377</f>
        <v>0</v>
      </c>
      <c r="BJ377" s="21" t="s">
        <v>1127</v>
      </c>
      <c r="BK377" s="37" t="s">
        <v>584</v>
      </c>
    </row>
    <row r="378" spans="1:63" x14ac:dyDescent="0.25">
      <c r="A378" s="4" t="s">
        <v>272</v>
      </c>
      <c r="B378" s="14" t="s">
        <v>586</v>
      </c>
      <c r="C378" s="117" t="s">
        <v>977</v>
      </c>
      <c r="D378" s="118"/>
      <c r="E378" s="118"/>
      <c r="F378" s="14" t="s">
        <v>1026</v>
      </c>
      <c r="G378" s="21">
        <v>14</v>
      </c>
      <c r="H378" s="21">
        <v>0</v>
      </c>
      <c r="I378" s="21">
        <f>G378*AN378</f>
        <v>0</v>
      </c>
      <c r="J378" s="21">
        <f>G378*AO378</f>
        <v>0</v>
      </c>
      <c r="K378" s="21">
        <f t="shared" si="187"/>
        <v>0</v>
      </c>
      <c r="L378" s="5"/>
      <c r="Y378" s="37">
        <f t="shared" si="188"/>
        <v>0</v>
      </c>
      <c r="AA378" s="37">
        <f t="shared" si="189"/>
        <v>0</v>
      </c>
      <c r="AB378" s="37">
        <f t="shared" si="190"/>
        <v>0</v>
      </c>
      <c r="AC378" s="37">
        <f t="shared" si="191"/>
        <v>0</v>
      </c>
      <c r="AD378" s="37">
        <f t="shared" si="192"/>
        <v>0</v>
      </c>
      <c r="AE378" s="37">
        <f t="shared" si="193"/>
        <v>0</v>
      </c>
      <c r="AF378" s="37">
        <f t="shared" si="194"/>
        <v>0</v>
      </c>
      <c r="AG378" s="37">
        <f t="shared" si="195"/>
        <v>0</v>
      </c>
      <c r="AH378" s="36"/>
      <c r="AI378" s="21">
        <f>IF(AM378=0,K378,0)</f>
        <v>0</v>
      </c>
      <c r="AJ378" s="21">
        <f>IF(AM378=15,K378,0)</f>
        <v>0</v>
      </c>
      <c r="AK378" s="21">
        <f>IF(AM378=21,K378,0)</f>
        <v>0</v>
      </c>
      <c r="AM378" s="37">
        <v>21</v>
      </c>
      <c r="AN378" s="37">
        <f>H378*0.235665439242504</f>
        <v>0</v>
      </c>
      <c r="AO378" s="37">
        <f>H378*(1-0.235665439242504)</f>
        <v>0</v>
      </c>
      <c r="AP378" s="38" t="s">
        <v>8</v>
      </c>
      <c r="AU378" s="37">
        <f t="shared" si="196"/>
        <v>0</v>
      </c>
      <c r="AV378" s="37">
        <f>G378*AN378</f>
        <v>0</v>
      </c>
      <c r="AW378" s="37">
        <f>G378*AO378</f>
        <v>0</v>
      </c>
      <c r="AX378" s="40" t="s">
        <v>1106</v>
      </c>
      <c r="AY378" s="40" t="s">
        <v>1120</v>
      </c>
      <c r="AZ378" s="36" t="s">
        <v>1122</v>
      </c>
      <c r="BB378" s="37">
        <f t="shared" si="197"/>
        <v>0</v>
      </c>
      <c r="BC378" s="37">
        <f>H378/(100-BD378)*100</f>
        <v>0</v>
      </c>
      <c r="BD378" s="37">
        <v>0</v>
      </c>
      <c r="BE378" s="37">
        <f>378</f>
        <v>378</v>
      </c>
      <c r="BG378" s="21">
        <f>G378*AN378</f>
        <v>0</v>
      </c>
      <c r="BH378" s="21">
        <f>G378*AO378</f>
        <v>0</v>
      </c>
      <c r="BI378" s="21">
        <f>G378*H378</f>
        <v>0</v>
      </c>
      <c r="BJ378" s="21" t="s">
        <v>1127</v>
      </c>
      <c r="BK378" s="37" t="s">
        <v>584</v>
      </c>
    </row>
    <row r="379" spans="1:63" x14ac:dyDescent="0.25">
      <c r="A379" s="7" t="s">
        <v>273</v>
      </c>
      <c r="B379" s="16" t="s">
        <v>587</v>
      </c>
      <c r="C379" s="123" t="s">
        <v>978</v>
      </c>
      <c r="D379" s="124"/>
      <c r="E379" s="124"/>
      <c r="F379" s="16" t="s">
        <v>1024</v>
      </c>
      <c r="G379" s="23">
        <v>2</v>
      </c>
      <c r="H379" s="23">
        <v>0</v>
      </c>
      <c r="I379" s="23">
        <f>G379*AN379</f>
        <v>0</v>
      </c>
      <c r="J379" s="23">
        <f>G379*AO379</f>
        <v>0</v>
      </c>
      <c r="K379" s="23">
        <f t="shared" si="187"/>
        <v>0</v>
      </c>
      <c r="L379" s="5"/>
      <c r="Y379" s="37">
        <f t="shared" si="188"/>
        <v>0</v>
      </c>
      <c r="AA379" s="37">
        <f t="shared" si="189"/>
        <v>0</v>
      </c>
      <c r="AB379" s="37">
        <f t="shared" si="190"/>
        <v>0</v>
      </c>
      <c r="AC379" s="37">
        <f t="shared" si="191"/>
        <v>0</v>
      </c>
      <c r="AD379" s="37">
        <f t="shared" si="192"/>
        <v>0</v>
      </c>
      <c r="AE379" s="37">
        <f t="shared" si="193"/>
        <v>0</v>
      </c>
      <c r="AF379" s="37">
        <f t="shared" si="194"/>
        <v>0</v>
      </c>
      <c r="AG379" s="37">
        <f t="shared" si="195"/>
        <v>0</v>
      </c>
      <c r="AH379" s="36"/>
      <c r="AI379" s="23">
        <f>IF(AM379=0,K379,0)</f>
        <v>0</v>
      </c>
      <c r="AJ379" s="23">
        <f>IF(AM379=15,K379,0)</f>
        <v>0</v>
      </c>
      <c r="AK379" s="23">
        <f>IF(AM379=21,K379,0)</f>
        <v>0</v>
      </c>
      <c r="AM379" s="37">
        <v>21</v>
      </c>
      <c r="AN379" s="37">
        <f>H379*1</f>
        <v>0</v>
      </c>
      <c r="AO379" s="37">
        <f>H379*(1-1)</f>
        <v>0</v>
      </c>
      <c r="AP379" s="39" t="s">
        <v>7</v>
      </c>
      <c r="AU379" s="37">
        <f t="shared" si="196"/>
        <v>0</v>
      </c>
      <c r="AV379" s="37">
        <f>G379*AN379</f>
        <v>0</v>
      </c>
      <c r="AW379" s="37">
        <f>G379*AO379</f>
        <v>0</v>
      </c>
      <c r="AX379" s="40" t="s">
        <v>1106</v>
      </c>
      <c r="AY379" s="40" t="s">
        <v>1120</v>
      </c>
      <c r="AZ379" s="36" t="s">
        <v>1122</v>
      </c>
      <c r="BB379" s="37">
        <f t="shared" si="197"/>
        <v>0</v>
      </c>
      <c r="BC379" s="37">
        <f>H379/(100-BD379)*100</f>
        <v>0</v>
      </c>
      <c r="BD379" s="37">
        <v>0</v>
      </c>
      <c r="BE379" s="37">
        <f>379</f>
        <v>379</v>
      </c>
      <c r="BG379" s="23">
        <f>G379*AN379</f>
        <v>0</v>
      </c>
      <c r="BH379" s="23">
        <f>G379*AO379</f>
        <v>0</v>
      </c>
      <c r="BI379" s="23">
        <f>G379*H379</f>
        <v>0</v>
      </c>
      <c r="BJ379" s="23" t="s">
        <v>1128</v>
      </c>
      <c r="BK379" s="37" t="s">
        <v>584</v>
      </c>
    </row>
    <row r="380" spans="1:63" x14ac:dyDescent="0.25">
      <c r="A380" s="4" t="s">
        <v>274</v>
      </c>
      <c r="B380" s="14" t="s">
        <v>588</v>
      </c>
      <c r="C380" s="117" t="s">
        <v>979</v>
      </c>
      <c r="D380" s="118"/>
      <c r="E380" s="118"/>
      <c r="F380" s="14" t="s">
        <v>1024</v>
      </c>
      <c r="G380" s="21">
        <v>2</v>
      </c>
      <c r="H380" s="21">
        <v>0</v>
      </c>
      <c r="I380" s="21">
        <f>G380*AN380</f>
        <v>0</v>
      </c>
      <c r="J380" s="21">
        <f>G380*AO380</f>
        <v>0</v>
      </c>
      <c r="K380" s="21">
        <f t="shared" si="187"/>
        <v>0</v>
      </c>
      <c r="L380" s="5"/>
      <c r="Y380" s="37">
        <f t="shared" si="188"/>
        <v>0</v>
      </c>
      <c r="AA380" s="37">
        <f t="shared" si="189"/>
        <v>0</v>
      </c>
      <c r="AB380" s="37">
        <f t="shared" si="190"/>
        <v>0</v>
      </c>
      <c r="AC380" s="37">
        <f t="shared" si="191"/>
        <v>0</v>
      </c>
      <c r="AD380" s="37">
        <f t="shared" si="192"/>
        <v>0</v>
      </c>
      <c r="AE380" s="37">
        <f t="shared" si="193"/>
        <v>0</v>
      </c>
      <c r="AF380" s="37">
        <f t="shared" si="194"/>
        <v>0</v>
      </c>
      <c r="AG380" s="37">
        <f t="shared" si="195"/>
        <v>0</v>
      </c>
      <c r="AH380" s="36"/>
      <c r="AI380" s="21">
        <f>IF(AM380=0,K380,0)</f>
        <v>0</v>
      </c>
      <c r="AJ380" s="21">
        <f>IF(AM380=15,K380,0)</f>
        <v>0</v>
      </c>
      <c r="AK380" s="21">
        <f>IF(AM380=21,K380,0)</f>
        <v>0</v>
      </c>
      <c r="AM380" s="37">
        <v>21</v>
      </c>
      <c r="AN380" s="37">
        <f>H380*0.856010568031704</f>
        <v>0</v>
      </c>
      <c r="AO380" s="37">
        <f>H380*(1-0.856010568031704)</f>
        <v>0</v>
      </c>
      <c r="AP380" s="38" t="s">
        <v>8</v>
      </c>
      <c r="AU380" s="37">
        <f t="shared" si="196"/>
        <v>0</v>
      </c>
      <c r="AV380" s="37">
        <f>G380*AN380</f>
        <v>0</v>
      </c>
      <c r="AW380" s="37">
        <f>G380*AO380</f>
        <v>0</v>
      </c>
      <c r="AX380" s="40" t="s">
        <v>1106</v>
      </c>
      <c r="AY380" s="40" t="s">
        <v>1120</v>
      </c>
      <c r="AZ380" s="36" t="s">
        <v>1122</v>
      </c>
      <c r="BB380" s="37">
        <f t="shared" si="197"/>
        <v>0</v>
      </c>
      <c r="BC380" s="37">
        <f>H380/(100-BD380)*100</f>
        <v>0</v>
      </c>
      <c r="BD380" s="37">
        <v>0</v>
      </c>
      <c r="BE380" s="37">
        <f>380</f>
        <v>380</v>
      </c>
      <c r="BG380" s="21">
        <f>G380*AN380</f>
        <v>0</v>
      </c>
      <c r="BH380" s="21">
        <f>G380*AO380</f>
        <v>0</v>
      </c>
      <c r="BI380" s="21">
        <f>G380*H380</f>
        <v>0</v>
      </c>
      <c r="BJ380" s="21" t="s">
        <v>1127</v>
      </c>
      <c r="BK380" s="37" t="s">
        <v>584</v>
      </c>
    </row>
    <row r="381" spans="1:63" x14ac:dyDescent="0.25">
      <c r="A381" s="4" t="s">
        <v>275</v>
      </c>
      <c r="B381" s="14" t="s">
        <v>589</v>
      </c>
      <c r="C381" s="117" t="s">
        <v>980</v>
      </c>
      <c r="D381" s="118"/>
      <c r="E381" s="118"/>
      <c r="F381" s="14" t="s">
        <v>1024</v>
      </c>
      <c r="G381" s="21">
        <v>1</v>
      </c>
      <c r="H381" s="21">
        <v>0</v>
      </c>
      <c r="I381" s="21">
        <f>G381*AN381</f>
        <v>0</v>
      </c>
      <c r="J381" s="21">
        <f>G381*AO381</f>
        <v>0</v>
      </c>
      <c r="K381" s="21">
        <f t="shared" si="187"/>
        <v>0</v>
      </c>
      <c r="L381" s="5"/>
      <c r="Y381" s="37">
        <f t="shared" si="188"/>
        <v>0</v>
      </c>
      <c r="AA381" s="37">
        <f t="shared" si="189"/>
        <v>0</v>
      </c>
      <c r="AB381" s="37">
        <f t="shared" si="190"/>
        <v>0</v>
      </c>
      <c r="AC381" s="37">
        <f t="shared" si="191"/>
        <v>0</v>
      </c>
      <c r="AD381" s="37">
        <f t="shared" si="192"/>
        <v>0</v>
      </c>
      <c r="AE381" s="37">
        <f t="shared" si="193"/>
        <v>0</v>
      </c>
      <c r="AF381" s="37">
        <f t="shared" si="194"/>
        <v>0</v>
      </c>
      <c r="AG381" s="37">
        <f t="shared" si="195"/>
        <v>0</v>
      </c>
      <c r="AH381" s="36"/>
      <c r="AI381" s="21">
        <f>IF(AM381=0,K381,0)</f>
        <v>0</v>
      </c>
      <c r="AJ381" s="21">
        <f>IF(AM381=15,K381,0)</f>
        <v>0</v>
      </c>
      <c r="AK381" s="21">
        <f>IF(AM381=21,K381,0)</f>
        <v>0</v>
      </c>
      <c r="AM381" s="37">
        <v>21</v>
      </c>
      <c r="AN381" s="37">
        <f>H381*0.199324324324324</f>
        <v>0</v>
      </c>
      <c r="AO381" s="37">
        <f>H381*(1-0.199324324324324)</f>
        <v>0</v>
      </c>
      <c r="AP381" s="38" t="s">
        <v>8</v>
      </c>
      <c r="AU381" s="37">
        <f t="shared" si="196"/>
        <v>0</v>
      </c>
      <c r="AV381" s="37">
        <f>G381*AN381</f>
        <v>0</v>
      </c>
      <c r="AW381" s="37">
        <f>G381*AO381</f>
        <v>0</v>
      </c>
      <c r="AX381" s="40" t="s">
        <v>1106</v>
      </c>
      <c r="AY381" s="40" t="s">
        <v>1120</v>
      </c>
      <c r="AZ381" s="36" t="s">
        <v>1122</v>
      </c>
      <c r="BB381" s="37">
        <f t="shared" si="197"/>
        <v>0</v>
      </c>
      <c r="BC381" s="37">
        <f>H381/(100-BD381)*100</f>
        <v>0</v>
      </c>
      <c r="BD381" s="37">
        <v>0</v>
      </c>
      <c r="BE381" s="37">
        <f>381</f>
        <v>381</v>
      </c>
      <c r="BG381" s="21">
        <f>G381*AN381</f>
        <v>0</v>
      </c>
      <c r="BH381" s="21">
        <f>G381*AO381</f>
        <v>0</v>
      </c>
      <c r="BI381" s="21">
        <f>G381*H381</f>
        <v>0</v>
      </c>
      <c r="BJ381" s="21" t="s">
        <v>1127</v>
      </c>
      <c r="BK381" s="37" t="s">
        <v>584</v>
      </c>
    </row>
    <row r="382" spans="1:63" x14ac:dyDescent="0.25">
      <c r="A382" s="4" t="s">
        <v>276</v>
      </c>
      <c r="B382" s="14" t="s">
        <v>371</v>
      </c>
      <c r="C382" s="117" t="s">
        <v>724</v>
      </c>
      <c r="D382" s="118"/>
      <c r="E382" s="118"/>
      <c r="F382" s="14" t="s">
        <v>1026</v>
      </c>
      <c r="G382" s="21">
        <v>5</v>
      </c>
      <c r="H382" s="21">
        <v>0</v>
      </c>
      <c r="I382" s="21">
        <f>G382*AN382</f>
        <v>0</v>
      </c>
      <c r="J382" s="21">
        <f>G382*AO382</f>
        <v>0</v>
      </c>
      <c r="K382" s="21">
        <f t="shared" si="187"/>
        <v>0</v>
      </c>
      <c r="L382" s="5"/>
      <c r="Y382" s="37">
        <f t="shared" si="188"/>
        <v>0</v>
      </c>
      <c r="AA382" s="37">
        <f t="shared" si="189"/>
        <v>0</v>
      </c>
      <c r="AB382" s="37">
        <f t="shared" si="190"/>
        <v>0</v>
      </c>
      <c r="AC382" s="37">
        <f t="shared" si="191"/>
        <v>0</v>
      </c>
      <c r="AD382" s="37">
        <f t="shared" si="192"/>
        <v>0</v>
      </c>
      <c r="AE382" s="37">
        <f t="shared" si="193"/>
        <v>0</v>
      </c>
      <c r="AF382" s="37">
        <f t="shared" si="194"/>
        <v>0</v>
      </c>
      <c r="AG382" s="37">
        <f t="shared" si="195"/>
        <v>0</v>
      </c>
      <c r="AH382" s="36"/>
      <c r="AI382" s="21">
        <f>IF(AM382=0,K382,0)</f>
        <v>0</v>
      </c>
      <c r="AJ382" s="21">
        <f>IF(AM382=15,K382,0)</f>
        <v>0</v>
      </c>
      <c r="AK382" s="21">
        <f>IF(AM382=21,K382,0)</f>
        <v>0</v>
      </c>
      <c r="AM382" s="37">
        <v>21</v>
      </c>
      <c r="AN382" s="37">
        <f>H382*0.389</f>
        <v>0</v>
      </c>
      <c r="AO382" s="37">
        <f>H382*(1-0.389)</f>
        <v>0</v>
      </c>
      <c r="AP382" s="38" t="s">
        <v>7</v>
      </c>
      <c r="AU382" s="37">
        <f t="shared" si="196"/>
        <v>0</v>
      </c>
      <c r="AV382" s="37">
        <f>G382*AN382</f>
        <v>0</v>
      </c>
      <c r="AW382" s="37">
        <f>G382*AO382</f>
        <v>0</v>
      </c>
      <c r="AX382" s="40" t="s">
        <v>1106</v>
      </c>
      <c r="AY382" s="40" t="s">
        <v>1120</v>
      </c>
      <c r="AZ382" s="36" t="s">
        <v>1122</v>
      </c>
      <c r="BB382" s="37">
        <f t="shared" si="197"/>
        <v>0</v>
      </c>
      <c r="BC382" s="37">
        <f>H382/(100-BD382)*100</f>
        <v>0</v>
      </c>
      <c r="BD382" s="37">
        <v>0</v>
      </c>
      <c r="BE382" s="37">
        <f>382</f>
        <v>382</v>
      </c>
      <c r="BG382" s="21">
        <f>G382*AN382</f>
        <v>0</v>
      </c>
      <c r="BH382" s="21">
        <f>G382*AO382</f>
        <v>0</v>
      </c>
      <c r="BI382" s="21">
        <f>G382*H382</f>
        <v>0</v>
      </c>
      <c r="BJ382" s="21" t="s">
        <v>1127</v>
      </c>
      <c r="BK382" s="37" t="s">
        <v>584</v>
      </c>
    </row>
    <row r="383" spans="1:63" x14ac:dyDescent="0.25">
      <c r="A383" s="4" t="s">
        <v>277</v>
      </c>
      <c r="B383" s="14" t="s">
        <v>375</v>
      </c>
      <c r="C383" s="117" t="s">
        <v>981</v>
      </c>
      <c r="D383" s="118"/>
      <c r="E383" s="118"/>
      <c r="F383" s="14" t="s">
        <v>1024</v>
      </c>
      <c r="G383" s="21">
        <v>2</v>
      </c>
      <c r="H383" s="21">
        <v>0</v>
      </c>
      <c r="I383" s="21">
        <f>G383*AN383</f>
        <v>0</v>
      </c>
      <c r="J383" s="21">
        <f>G383*AO383</f>
        <v>0</v>
      </c>
      <c r="K383" s="21">
        <f t="shared" si="187"/>
        <v>0</v>
      </c>
      <c r="L383" s="5"/>
      <c r="Y383" s="37">
        <f t="shared" si="188"/>
        <v>0</v>
      </c>
      <c r="AA383" s="37">
        <f t="shared" si="189"/>
        <v>0</v>
      </c>
      <c r="AB383" s="37">
        <f t="shared" si="190"/>
        <v>0</v>
      </c>
      <c r="AC383" s="37">
        <f t="shared" si="191"/>
        <v>0</v>
      </c>
      <c r="AD383" s="37">
        <f t="shared" si="192"/>
        <v>0</v>
      </c>
      <c r="AE383" s="37">
        <f t="shared" si="193"/>
        <v>0</v>
      </c>
      <c r="AF383" s="37">
        <f t="shared" si="194"/>
        <v>0</v>
      </c>
      <c r="AG383" s="37">
        <f t="shared" si="195"/>
        <v>0</v>
      </c>
      <c r="AH383" s="36"/>
      <c r="AI383" s="21">
        <f>IF(AM383=0,K383,0)</f>
        <v>0</v>
      </c>
      <c r="AJ383" s="21">
        <f>IF(AM383=15,K383,0)</f>
        <v>0</v>
      </c>
      <c r="AK383" s="21">
        <f>IF(AM383=21,K383,0)</f>
        <v>0</v>
      </c>
      <c r="AM383" s="37">
        <v>21</v>
      </c>
      <c r="AN383" s="37">
        <f>H383*0.767987065481002</f>
        <v>0</v>
      </c>
      <c r="AO383" s="37">
        <f>H383*(1-0.767987065481002)</f>
        <v>0</v>
      </c>
      <c r="AP383" s="38" t="s">
        <v>7</v>
      </c>
      <c r="AU383" s="37">
        <f t="shared" si="196"/>
        <v>0</v>
      </c>
      <c r="AV383" s="37">
        <f>G383*AN383</f>
        <v>0</v>
      </c>
      <c r="AW383" s="37">
        <f>G383*AO383</f>
        <v>0</v>
      </c>
      <c r="AX383" s="40" t="s">
        <v>1106</v>
      </c>
      <c r="AY383" s="40" t="s">
        <v>1120</v>
      </c>
      <c r="AZ383" s="36" t="s">
        <v>1122</v>
      </c>
      <c r="BB383" s="37">
        <f t="shared" si="197"/>
        <v>0</v>
      </c>
      <c r="BC383" s="37">
        <f>H383/(100-BD383)*100</f>
        <v>0</v>
      </c>
      <c r="BD383" s="37">
        <v>0</v>
      </c>
      <c r="BE383" s="37">
        <f>383</f>
        <v>383</v>
      </c>
      <c r="BG383" s="21">
        <f>G383*AN383</f>
        <v>0</v>
      </c>
      <c r="BH383" s="21">
        <f>G383*AO383</f>
        <v>0</v>
      </c>
      <c r="BI383" s="21">
        <f>G383*H383</f>
        <v>0</v>
      </c>
      <c r="BJ383" s="21" t="s">
        <v>1127</v>
      </c>
      <c r="BK383" s="37" t="s">
        <v>584</v>
      </c>
    </row>
    <row r="384" spans="1:63" x14ac:dyDescent="0.25">
      <c r="A384" s="4" t="s">
        <v>278</v>
      </c>
      <c r="B384" s="14" t="s">
        <v>590</v>
      </c>
      <c r="C384" s="117" t="s">
        <v>982</v>
      </c>
      <c r="D384" s="118"/>
      <c r="E384" s="118"/>
      <c r="F384" s="14" t="s">
        <v>1023</v>
      </c>
      <c r="G384" s="21">
        <v>0.19</v>
      </c>
      <c r="H384" s="21">
        <v>0</v>
      </c>
      <c r="I384" s="21">
        <f>G384*AN384</f>
        <v>0</v>
      </c>
      <c r="J384" s="21">
        <f>G384*AO384</f>
        <v>0</v>
      </c>
      <c r="K384" s="21">
        <f t="shared" si="187"/>
        <v>0</v>
      </c>
      <c r="L384" s="5"/>
      <c r="Y384" s="37">
        <f t="shared" si="188"/>
        <v>0</v>
      </c>
      <c r="AA384" s="37">
        <f t="shared" si="189"/>
        <v>0</v>
      </c>
      <c r="AB384" s="37">
        <f t="shared" si="190"/>
        <v>0</v>
      </c>
      <c r="AC384" s="37">
        <f t="shared" si="191"/>
        <v>0</v>
      </c>
      <c r="AD384" s="37">
        <f t="shared" si="192"/>
        <v>0</v>
      </c>
      <c r="AE384" s="37">
        <f t="shared" si="193"/>
        <v>0</v>
      </c>
      <c r="AF384" s="37">
        <f t="shared" si="194"/>
        <v>0</v>
      </c>
      <c r="AG384" s="37">
        <f t="shared" si="195"/>
        <v>0</v>
      </c>
      <c r="AH384" s="36"/>
      <c r="AI384" s="21">
        <f>IF(AM384=0,K384,0)</f>
        <v>0</v>
      </c>
      <c r="AJ384" s="21">
        <f>IF(AM384=15,K384,0)</f>
        <v>0</v>
      </c>
      <c r="AK384" s="21">
        <f>IF(AM384=21,K384,0)</f>
        <v>0</v>
      </c>
      <c r="AM384" s="37">
        <v>21</v>
      </c>
      <c r="AN384" s="37">
        <f>H384*0</f>
        <v>0</v>
      </c>
      <c r="AO384" s="37">
        <f>H384*(1-0)</f>
        <v>0</v>
      </c>
      <c r="AP384" s="38" t="s">
        <v>8</v>
      </c>
      <c r="AU384" s="37">
        <f t="shared" si="196"/>
        <v>0</v>
      </c>
      <c r="AV384" s="37">
        <f>G384*AN384</f>
        <v>0</v>
      </c>
      <c r="AW384" s="37">
        <f>G384*AO384</f>
        <v>0</v>
      </c>
      <c r="AX384" s="40" t="s">
        <v>1106</v>
      </c>
      <c r="AY384" s="40" t="s">
        <v>1120</v>
      </c>
      <c r="AZ384" s="36" t="s">
        <v>1122</v>
      </c>
      <c r="BB384" s="37">
        <f t="shared" si="197"/>
        <v>0</v>
      </c>
      <c r="BC384" s="37">
        <f>H384/(100-BD384)*100</f>
        <v>0</v>
      </c>
      <c r="BD384" s="37">
        <v>0</v>
      </c>
      <c r="BE384" s="37">
        <f>384</f>
        <v>384</v>
      </c>
      <c r="BG384" s="21">
        <f>G384*AN384</f>
        <v>0</v>
      </c>
      <c r="BH384" s="21">
        <f>G384*AO384</f>
        <v>0</v>
      </c>
      <c r="BI384" s="21">
        <f>G384*H384</f>
        <v>0</v>
      </c>
      <c r="BJ384" s="21" t="s">
        <v>1127</v>
      </c>
      <c r="BK384" s="37" t="s">
        <v>584</v>
      </c>
    </row>
    <row r="385" spans="1:63" x14ac:dyDescent="0.25">
      <c r="A385" s="5"/>
      <c r="C385" s="119" t="s">
        <v>983</v>
      </c>
      <c r="D385" s="120"/>
      <c r="E385" s="120"/>
      <c r="G385" s="22">
        <v>0.19</v>
      </c>
      <c r="L385" s="5"/>
    </row>
    <row r="386" spans="1:63" x14ac:dyDescent="0.25">
      <c r="A386" s="7" t="s">
        <v>279</v>
      </c>
      <c r="B386" s="16" t="s">
        <v>591</v>
      </c>
      <c r="C386" s="123" t="s">
        <v>984</v>
      </c>
      <c r="D386" s="124"/>
      <c r="E386" s="124"/>
      <c r="F386" s="16" t="s">
        <v>1026</v>
      </c>
      <c r="G386" s="23">
        <v>2</v>
      </c>
      <c r="H386" s="23">
        <v>0</v>
      </c>
      <c r="I386" s="23">
        <f>G386*AN386</f>
        <v>0</v>
      </c>
      <c r="J386" s="23">
        <f>G386*AO386</f>
        <v>0</v>
      </c>
      <c r="K386" s="23">
        <f>G386*H386</f>
        <v>0</v>
      </c>
      <c r="L386" s="5"/>
      <c r="Y386" s="37">
        <f>IF(AP386="5",BI386,0)</f>
        <v>0</v>
      </c>
      <c r="AA386" s="37">
        <f>IF(AP386="1",BG386,0)</f>
        <v>0</v>
      </c>
      <c r="AB386" s="37">
        <f>IF(AP386="1",BH386,0)</f>
        <v>0</v>
      </c>
      <c r="AC386" s="37">
        <f>IF(AP386="7",BG386,0)</f>
        <v>0</v>
      </c>
      <c r="AD386" s="37">
        <f>IF(AP386="7",BH386,0)</f>
        <v>0</v>
      </c>
      <c r="AE386" s="37">
        <f>IF(AP386="2",BG386,0)</f>
        <v>0</v>
      </c>
      <c r="AF386" s="37">
        <f>IF(AP386="2",BH386,0)</f>
        <v>0</v>
      </c>
      <c r="AG386" s="37">
        <f>IF(AP386="0",BI386,0)</f>
        <v>0</v>
      </c>
      <c r="AH386" s="36"/>
      <c r="AI386" s="23">
        <f>IF(AM386=0,K386,0)</f>
        <v>0</v>
      </c>
      <c r="AJ386" s="23">
        <f>IF(AM386=15,K386,0)</f>
        <v>0</v>
      </c>
      <c r="AK386" s="23">
        <f>IF(AM386=21,K386,0)</f>
        <v>0</v>
      </c>
      <c r="AM386" s="37">
        <v>21</v>
      </c>
      <c r="AN386" s="37">
        <f>H386*1</f>
        <v>0</v>
      </c>
      <c r="AO386" s="37">
        <f>H386*(1-1)</f>
        <v>0</v>
      </c>
      <c r="AP386" s="39" t="s">
        <v>7</v>
      </c>
      <c r="AU386" s="37">
        <f>AV386+AW386</f>
        <v>0</v>
      </c>
      <c r="AV386" s="37">
        <f>G386*AN386</f>
        <v>0</v>
      </c>
      <c r="AW386" s="37">
        <f>G386*AO386</f>
        <v>0</v>
      </c>
      <c r="AX386" s="40" t="s">
        <v>1106</v>
      </c>
      <c r="AY386" s="40" t="s">
        <v>1120</v>
      </c>
      <c r="AZ386" s="36" t="s">
        <v>1122</v>
      </c>
      <c r="BB386" s="37">
        <f>AV386+AW386</f>
        <v>0</v>
      </c>
      <c r="BC386" s="37">
        <f>H386/(100-BD386)*100</f>
        <v>0</v>
      </c>
      <c r="BD386" s="37">
        <v>0</v>
      </c>
      <c r="BE386" s="37">
        <f>386</f>
        <v>386</v>
      </c>
      <c r="BG386" s="23">
        <f>G386*AN386</f>
        <v>0</v>
      </c>
      <c r="BH386" s="23">
        <f>G386*AO386</f>
        <v>0</v>
      </c>
      <c r="BI386" s="23">
        <f>G386*H386</f>
        <v>0</v>
      </c>
      <c r="BJ386" s="23" t="s">
        <v>1128</v>
      </c>
      <c r="BK386" s="37" t="s">
        <v>584</v>
      </c>
    </row>
    <row r="387" spans="1:63" x14ac:dyDescent="0.25">
      <c r="A387" s="5"/>
      <c r="C387" s="119" t="s">
        <v>985</v>
      </c>
      <c r="D387" s="120"/>
      <c r="E387" s="120"/>
      <c r="G387" s="22">
        <v>2</v>
      </c>
      <c r="L387" s="5"/>
    </row>
    <row r="388" spans="1:63" x14ac:dyDescent="0.25">
      <c r="A388" s="4" t="s">
        <v>280</v>
      </c>
      <c r="B388" s="14" t="s">
        <v>592</v>
      </c>
      <c r="C388" s="117" t="s">
        <v>986</v>
      </c>
      <c r="D388" s="118"/>
      <c r="E388" s="118"/>
      <c r="F388" s="14" t="s">
        <v>1024</v>
      </c>
      <c r="G388" s="21">
        <v>2</v>
      </c>
      <c r="H388" s="21">
        <v>0</v>
      </c>
      <c r="I388" s="21">
        <f>G388*AN388</f>
        <v>0</v>
      </c>
      <c r="J388" s="21">
        <f>G388*AO388</f>
        <v>0</v>
      </c>
      <c r="K388" s="21">
        <f>G388*H388</f>
        <v>0</v>
      </c>
      <c r="L388" s="5"/>
      <c r="Y388" s="37">
        <f>IF(AP388="5",BI388,0)</f>
        <v>0</v>
      </c>
      <c r="AA388" s="37">
        <f>IF(AP388="1",BG388,0)</f>
        <v>0</v>
      </c>
      <c r="AB388" s="37">
        <f>IF(AP388="1",BH388,0)</f>
        <v>0</v>
      </c>
      <c r="AC388" s="37">
        <f>IF(AP388="7",BG388,0)</f>
        <v>0</v>
      </c>
      <c r="AD388" s="37">
        <f>IF(AP388="7",BH388,0)</f>
        <v>0</v>
      </c>
      <c r="AE388" s="37">
        <f>IF(AP388="2",BG388,0)</f>
        <v>0</v>
      </c>
      <c r="AF388" s="37">
        <f>IF(AP388="2",BH388,0)</f>
        <v>0</v>
      </c>
      <c r="AG388" s="37">
        <f>IF(AP388="0",BI388,0)</f>
        <v>0</v>
      </c>
      <c r="AH388" s="36"/>
      <c r="AI388" s="21">
        <f>IF(AM388=0,K388,0)</f>
        <v>0</v>
      </c>
      <c r="AJ388" s="21">
        <f>IF(AM388=15,K388,0)</f>
        <v>0</v>
      </c>
      <c r="AK388" s="21">
        <f>IF(AM388=21,K388,0)</f>
        <v>0</v>
      </c>
      <c r="AM388" s="37">
        <v>21</v>
      </c>
      <c r="AN388" s="37">
        <f>H388*0</f>
        <v>0</v>
      </c>
      <c r="AO388" s="37">
        <f>H388*(1-0)</f>
        <v>0</v>
      </c>
      <c r="AP388" s="38" t="s">
        <v>8</v>
      </c>
      <c r="AU388" s="37">
        <f>AV388+AW388</f>
        <v>0</v>
      </c>
      <c r="AV388" s="37">
        <f>G388*AN388</f>
        <v>0</v>
      </c>
      <c r="AW388" s="37">
        <f>G388*AO388</f>
        <v>0</v>
      </c>
      <c r="AX388" s="40" t="s">
        <v>1106</v>
      </c>
      <c r="AY388" s="40" t="s">
        <v>1120</v>
      </c>
      <c r="AZ388" s="36" t="s">
        <v>1122</v>
      </c>
      <c r="BB388" s="37">
        <f>AV388+AW388</f>
        <v>0</v>
      </c>
      <c r="BC388" s="37">
        <f>H388/(100-BD388)*100</f>
        <v>0</v>
      </c>
      <c r="BD388" s="37">
        <v>0</v>
      </c>
      <c r="BE388" s="37">
        <f>388</f>
        <v>388</v>
      </c>
      <c r="BG388" s="21">
        <f>G388*AN388</f>
        <v>0</v>
      </c>
      <c r="BH388" s="21">
        <f>G388*AO388</f>
        <v>0</v>
      </c>
      <c r="BI388" s="21">
        <f>G388*H388</f>
        <v>0</v>
      </c>
      <c r="BJ388" s="21" t="s">
        <v>1127</v>
      </c>
      <c r="BK388" s="37" t="s">
        <v>584</v>
      </c>
    </row>
    <row r="389" spans="1:63" x14ac:dyDescent="0.25">
      <c r="A389" s="4" t="s">
        <v>281</v>
      </c>
      <c r="B389" s="14" t="s">
        <v>593</v>
      </c>
      <c r="C389" s="117" t="s">
        <v>987</v>
      </c>
      <c r="D389" s="118"/>
      <c r="E389" s="118"/>
      <c r="F389" s="14" t="s">
        <v>1024</v>
      </c>
      <c r="G389" s="21">
        <v>2</v>
      </c>
      <c r="H389" s="21">
        <v>0</v>
      </c>
      <c r="I389" s="21">
        <f>G389*AN389</f>
        <v>0</v>
      </c>
      <c r="J389" s="21">
        <f>G389*AO389</f>
        <v>0</v>
      </c>
      <c r="K389" s="21">
        <f>G389*H389</f>
        <v>0</v>
      </c>
      <c r="L389" s="5"/>
      <c r="Y389" s="37">
        <f>IF(AP389="5",BI389,0)</f>
        <v>0</v>
      </c>
      <c r="AA389" s="37">
        <f>IF(AP389="1",BG389,0)</f>
        <v>0</v>
      </c>
      <c r="AB389" s="37">
        <f>IF(AP389="1",BH389,0)</f>
        <v>0</v>
      </c>
      <c r="AC389" s="37">
        <f>IF(AP389="7",BG389,0)</f>
        <v>0</v>
      </c>
      <c r="AD389" s="37">
        <f>IF(AP389="7",BH389,0)</f>
        <v>0</v>
      </c>
      <c r="AE389" s="37">
        <f>IF(AP389="2",BG389,0)</f>
        <v>0</v>
      </c>
      <c r="AF389" s="37">
        <f>IF(AP389="2",BH389,0)</f>
        <v>0</v>
      </c>
      <c r="AG389" s="37">
        <f>IF(AP389="0",BI389,0)</f>
        <v>0</v>
      </c>
      <c r="AH389" s="36"/>
      <c r="AI389" s="21">
        <f>IF(AM389=0,K389,0)</f>
        <v>0</v>
      </c>
      <c r="AJ389" s="21">
        <f>IF(AM389=15,K389,0)</f>
        <v>0</v>
      </c>
      <c r="AK389" s="21">
        <f>IF(AM389=21,K389,0)</f>
        <v>0</v>
      </c>
      <c r="AM389" s="37">
        <v>21</v>
      </c>
      <c r="AN389" s="37">
        <f>H389*0</f>
        <v>0</v>
      </c>
      <c r="AO389" s="37">
        <f>H389*(1-0)</f>
        <v>0</v>
      </c>
      <c r="AP389" s="38" t="s">
        <v>7</v>
      </c>
      <c r="AU389" s="37">
        <f>AV389+AW389</f>
        <v>0</v>
      </c>
      <c r="AV389" s="37">
        <f>G389*AN389</f>
        <v>0</v>
      </c>
      <c r="AW389" s="37">
        <f>G389*AO389</f>
        <v>0</v>
      </c>
      <c r="AX389" s="40" t="s">
        <v>1106</v>
      </c>
      <c r="AY389" s="40" t="s">
        <v>1120</v>
      </c>
      <c r="AZ389" s="36" t="s">
        <v>1122</v>
      </c>
      <c r="BB389" s="37">
        <f>AV389+AW389</f>
        <v>0</v>
      </c>
      <c r="BC389" s="37">
        <f>H389/(100-BD389)*100</f>
        <v>0</v>
      </c>
      <c r="BD389" s="37">
        <v>0</v>
      </c>
      <c r="BE389" s="37">
        <f>389</f>
        <v>389</v>
      </c>
      <c r="BG389" s="21">
        <f>G389*AN389</f>
        <v>0</v>
      </c>
      <c r="BH389" s="21">
        <f>G389*AO389</f>
        <v>0</v>
      </c>
      <c r="BI389" s="21">
        <f>G389*H389</f>
        <v>0</v>
      </c>
      <c r="BJ389" s="21" t="s">
        <v>1127</v>
      </c>
      <c r="BK389" s="37" t="s">
        <v>584</v>
      </c>
    </row>
    <row r="390" spans="1:63" x14ac:dyDescent="0.25">
      <c r="A390" s="4" t="s">
        <v>282</v>
      </c>
      <c r="B390" s="14" t="s">
        <v>594</v>
      </c>
      <c r="C390" s="117" t="s">
        <v>988</v>
      </c>
      <c r="D390" s="118"/>
      <c r="E390" s="118"/>
      <c r="F390" s="14" t="s">
        <v>1024</v>
      </c>
      <c r="G390" s="21">
        <v>2</v>
      </c>
      <c r="H390" s="21">
        <v>0</v>
      </c>
      <c r="I390" s="21">
        <f>G390*AN390</f>
        <v>0</v>
      </c>
      <c r="J390" s="21">
        <f>G390*AO390</f>
        <v>0</v>
      </c>
      <c r="K390" s="21">
        <f>G390*H390</f>
        <v>0</v>
      </c>
      <c r="L390" s="5"/>
      <c r="Y390" s="37">
        <f>IF(AP390="5",BI390,0)</f>
        <v>0</v>
      </c>
      <c r="AA390" s="37">
        <f>IF(AP390="1",BG390,0)</f>
        <v>0</v>
      </c>
      <c r="AB390" s="37">
        <f>IF(AP390="1",BH390,0)</f>
        <v>0</v>
      </c>
      <c r="AC390" s="37">
        <f>IF(AP390="7",BG390,0)</f>
        <v>0</v>
      </c>
      <c r="AD390" s="37">
        <f>IF(AP390="7",BH390,0)</f>
        <v>0</v>
      </c>
      <c r="AE390" s="37">
        <f>IF(AP390="2",BG390,0)</f>
        <v>0</v>
      </c>
      <c r="AF390" s="37">
        <f>IF(AP390="2",BH390,0)</f>
        <v>0</v>
      </c>
      <c r="AG390" s="37">
        <f>IF(AP390="0",BI390,0)</f>
        <v>0</v>
      </c>
      <c r="AH390" s="36"/>
      <c r="AI390" s="21">
        <f>IF(AM390=0,K390,0)</f>
        <v>0</v>
      </c>
      <c r="AJ390" s="21">
        <f>IF(AM390=15,K390,0)</f>
        <v>0</v>
      </c>
      <c r="AK390" s="21">
        <f>IF(AM390=21,K390,0)</f>
        <v>0</v>
      </c>
      <c r="AM390" s="37">
        <v>21</v>
      </c>
      <c r="AN390" s="37">
        <f>H390*0.871021775544389</f>
        <v>0</v>
      </c>
      <c r="AO390" s="37">
        <f>H390*(1-0.871021775544389)</f>
        <v>0</v>
      </c>
      <c r="AP390" s="38" t="s">
        <v>7</v>
      </c>
      <c r="AU390" s="37">
        <f>AV390+AW390</f>
        <v>0</v>
      </c>
      <c r="AV390" s="37">
        <f>G390*AN390</f>
        <v>0</v>
      </c>
      <c r="AW390" s="37">
        <f>G390*AO390</f>
        <v>0</v>
      </c>
      <c r="AX390" s="40" t="s">
        <v>1106</v>
      </c>
      <c r="AY390" s="40" t="s">
        <v>1120</v>
      </c>
      <c r="AZ390" s="36" t="s">
        <v>1122</v>
      </c>
      <c r="BB390" s="37">
        <f>AV390+AW390</f>
        <v>0</v>
      </c>
      <c r="BC390" s="37">
        <f>H390/(100-BD390)*100</f>
        <v>0</v>
      </c>
      <c r="BD390" s="37">
        <v>0</v>
      </c>
      <c r="BE390" s="37">
        <f>390</f>
        <v>390</v>
      </c>
      <c r="BG390" s="21">
        <f>G390*AN390</f>
        <v>0</v>
      </c>
      <c r="BH390" s="21">
        <f>G390*AO390</f>
        <v>0</v>
      </c>
      <c r="BI390" s="21">
        <f>G390*H390</f>
        <v>0</v>
      </c>
      <c r="BJ390" s="21" t="s">
        <v>1127</v>
      </c>
      <c r="BK390" s="37" t="s">
        <v>584</v>
      </c>
    </row>
    <row r="391" spans="1:63" x14ac:dyDescent="0.25">
      <c r="A391" s="4" t="s">
        <v>283</v>
      </c>
      <c r="B391" s="14" t="s">
        <v>595</v>
      </c>
      <c r="C391" s="117" t="s">
        <v>989</v>
      </c>
      <c r="D391" s="118"/>
      <c r="E391" s="118"/>
      <c r="F391" s="14" t="s">
        <v>1024</v>
      </c>
      <c r="G391" s="21">
        <v>2</v>
      </c>
      <c r="H391" s="21">
        <v>0</v>
      </c>
      <c r="I391" s="21">
        <f>G391*AN391</f>
        <v>0</v>
      </c>
      <c r="J391" s="21">
        <f>G391*AO391</f>
        <v>0</v>
      </c>
      <c r="K391" s="21">
        <f>G391*H391</f>
        <v>0</v>
      </c>
      <c r="L391" s="5"/>
      <c r="Y391" s="37">
        <f>IF(AP391="5",BI391,0)</f>
        <v>0</v>
      </c>
      <c r="AA391" s="37">
        <f>IF(AP391="1",BG391,0)</f>
        <v>0</v>
      </c>
      <c r="AB391" s="37">
        <f>IF(AP391="1",BH391,0)</f>
        <v>0</v>
      </c>
      <c r="AC391" s="37">
        <f>IF(AP391="7",BG391,0)</f>
        <v>0</v>
      </c>
      <c r="AD391" s="37">
        <f>IF(AP391="7",BH391,0)</f>
        <v>0</v>
      </c>
      <c r="AE391" s="37">
        <f>IF(AP391="2",BG391,0)</f>
        <v>0</v>
      </c>
      <c r="AF391" s="37">
        <f>IF(AP391="2",BH391,0)</f>
        <v>0</v>
      </c>
      <c r="AG391" s="37">
        <f>IF(AP391="0",BI391,0)</f>
        <v>0</v>
      </c>
      <c r="AH391" s="36"/>
      <c r="AI391" s="21">
        <f>IF(AM391=0,K391,0)</f>
        <v>0</v>
      </c>
      <c r="AJ391" s="21">
        <f>IF(AM391=15,K391,0)</f>
        <v>0</v>
      </c>
      <c r="AK391" s="21">
        <f>IF(AM391=21,K391,0)</f>
        <v>0</v>
      </c>
      <c r="AM391" s="37">
        <v>21</v>
      </c>
      <c r="AN391" s="37">
        <f>H391*0.938262338149747</f>
        <v>0</v>
      </c>
      <c r="AO391" s="37">
        <f>H391*(1-0.938262338149747)</f>
        <v>0</v>
      </c>
      <c r="AP391" s="38" t="s">
        <v>7</v>
      </c>
      <c r="AU391" s="37">
        <f>AV391+AW391</f>
        <v>0</v>
      </c>
      <c r="AV391" s="37">
        <f>G391*AN391</f>
        <v>0</v>
      </c>
      <c r="AW391" s="37">
        <f>G391*AO391</f>
        <v>0</v>
      </c>
      <c r="AX391" s="40" t="s">
        <v>1106</v>
      </c>
      <c r="AY391" s="40" t="s">
        <v>1120</v>
      </c>
      <c r="AZ391" s="36" t="s">
        <v>1122</v>
      </c>
      <c r="BB391" s="37">
        <f>AV391+AW391</f>
        <v>0</v>
      </c>
      <c r="BC391" s="37">
        <f>H391/(100-BD391)*100</f>
        <v>0</v>
      </c>
      <c r="BD391" s="37">
        <v>0</v>
      </c>
      <c r="BE391" s="37">
        <f>391</f>
        <v>391</v>
      </c>
      <c r="BG391" s="21">
        <f>G391*AN391</f>
        <v>0</v>
      </c>
      <c r="BH391" s="21">
        <f>G391*AO391</f>
        <v>0</v>
      </c>
      <c r="BI391" s="21">
        <f>G391*H391</f>
        <v>0</v>
      </c>
      <c r="BJ391" s="21" t="s">
        <v>1127</v>
      </c>
      <c r="BK391" s="37" t="s">
        <v>584</v>
      </c>
    </row>
    <row r="392" spans="1:63" x14ac:dyDescent="0.25">
      <c r="A392" s="6"/>
      <c r="B392" s="15" t="s">
        <v>596</v>
      </c>
      <c r="C392" s="121" t="s">
        <v>990</v>
      </c>
      <c r="D392" s="122"/>
      <c r="E392" s="122"/>
      <c r="F392" s="19" t="s">
        <v>6</v>
      </c>
      <c r="G392" s="19" t="s">
        <v>6</v>
      </c>
      <c r="H392" s="19" t="s">
        <v>6</v>
      </c>
      <c r="I392" s="43">
        <f>SUM(I393:I402)</f>
        <v>0</v>
      </c>
      <c r="J392" s="43">
        <f>SUM(J393:J402)</f>
        <v>0</v>
      </c>
      <c r="K392" s="43">
        <f>SUM(K393:K402)</f>
        <v>0</v>
      </c>
      <c r="L392" s="5"/>
      <c r="AH392" s="36"/>
      <c r="AR392" s="43">
        <f>SUM(AI393:AI402)</f>
        <v>0</v>
      </c>
      <c r="AS392" s="43">
        <f>SUM(AJ393:AJ402)</f>
        <v>0</v>
      </c>
      <c r="AT392" s="43">
        <f>SUM(AK393:AK402)</f>
        <v>0</v>
      </c>
    </row>
    <row r="393" spans="1:63" x14ac:dyDescent="0.25">
      <c r="A393" s="4" t="s">
        <v>284</v>
      </c>
      <c r="B393" s="14" t="s">
        <v>597</v>
      </c>
      <c r="C393" s="117" t="s">
        <v>991</v>
      </c>
      <c r="D393" s="118"/>
      <c r="E393" s="118"/>
      <c r="F393" s="14" t="s">
        <v>1024</v>
      </c>
      <c r="G393" s="21">
        <v>22</v>
      </c>
      <c r="H393" s="21">
        <v>0</v>
      </c>
      <c r="I393" s="21">
        <f>G393*AN393</f>
        <v>0</v>
      </c>
      <c r="J393" s="21">
        <f>G393*AO393</f>
        <v>0</v>
      </c>
      <c r="K393" s="21">
        <f>G393*H393</f>
        <v>0</v>
      </c>
      <c r="L393" s="5"/>
      <c r="Y393" s="37">
        <f>IF(AP393="5",BI393,0)</f>
        <v>0</v>
      </c>
      <c r="AA393" s="37">
        <f>IF(AP393="1",BG393,0)</f>
        <v>0</v>
      </c>
      <c r="AB393" s="37">
        <f>IF(AP393="1",BH393,0)</f>
        <v>0</v>
      </c>
      <c r="AC393" s="37">
        <f>IF(AP393="7",BG393,0)</f>
        <v>0</v>
      </c>
      <c r="AD393" s="37">
        <f>IF(AP393="7",BH393,0)</f>
        <v>0</v>
      </c>
      <c r="AE393" s="37">
        <f>IF(AP393="2",BG393,0)</f>
        <v>0</v>
      </c>
      <c r="AF393" s="37">
        <f>IF(AP393="2",BH393,0)</f>
        <v>0</v>
      </c>
      <c r="AG393" s="37">
        <f>IF(AP393="0",BI393,0)</f>
        <v>0</v>
      </c>
      <c r="AH393" s="36"/>
      <c r="AI393" s="21">
        <f>IF(AM393=0,K393,0)</f>
        <v>0</v>
      </c>
      <c r="AJ393" s="21">
        <f>IF(AM393=15,K393,0)</f>
        <v>0</v>
      </c>
      <c r="AK393" s="21">
        <f>IF(AM393=21,K393,0)</f>
        <v>0</v>
      </c>
      <c r="AM393" s="37">
        <v>21</v>
      </c>
      <c r="AN393" s="37">
        <f>H393*0.212225274725275</f>
        <v>0</v>
      </c>
      <c r="AO393" s="37">
        <f>H393*(1-0.212225274725275)</f>
        <v>0</v>
      </c>
      <c r="AP393" s="38" t="s">
        <v>8</v>
      </c>
      <c r="AU393" s="37">
        <f>AV393+AW393</f>
        <v>0</v>
      </c>
      <c r="AV393" s="37">
        <f>G393*AN393</f>
        <v>0</v>
      </c>
      <c r="AW393" s="37">
        <f>G393*AO393</f>
        <v>0</v>
      </c>
      <c r="AX393" s="40" t="s">
        <v>1107</v>
      </c>
      <c r="AY393" s="40" t="s">
        <v>1120</v>
      </c>
      <c r="AZ393" s="36" t="s">
        <v>1122</v>
      </c>
      <c r="BB393" s="37">
        <f>AV393+AW393</f>
        <v>0</v>
      </c>
      <c r="BC393" s="37">
        <f>H393/(100-BD393)*100</f>
        <v>0</v>
      </c>
      <c r="BD393" s="37">
        <v>0</v>
      </c>
      <c r="BE393" s="37">
        <f>393</f>
        <v>393</v>
      </c>
      <c r="BG393" s="21">
        <f>G393*AN393</f>
        <v>0</v>
      </c>
      <c r="BH393" s="21">
        <f>G393*AO393</f>
        <v>0</v>
      </c>
      <c r="BI393" s="21">
        <f>G393*H393</f>
        <v>0</v>
      </c>
      <c r="BJ393" s="21" t="s">
        <v>1127</v>
      </c>
      <c r="BK393" s="37" t="s">
        <v>596</v>
      </c>
    </row>
    <row r="394" spans="1:63" x14ac:dyDescent="0.25">
      <c r="A394" s="5"/>
      <c r="C394" s="119" t="s">
        <v>992</v>
      </c>
      <c r="D394" s="120"/>
      <c r="E394" s="120"/>
      <c r="G394" s="22">
        <v>22</v>
      </c>
      <c r="L394" s="5"/>
    </row>
    <row r="395" spans="1:63" x14ac:dyDescent="0.25">
      <c r="A395" s="4" t="s">
        <v>285</v>
      </c>
      <c r="B395" s="14" t="s">
        <v>598</v>
      </c>
      <c r="C395" s="117" t="s">
        <v>993</v>
      </c>
      <c r="D395" s="118"/>
      <c r="E395" s="118"/>
      <c r="F395" s="14" t="s">
        <v>1024</v>
      </c>
      <c r="G395" s="21">
        <v>6</v>
      </c>
      <c r="H395" s="21">
        <v>0</v>
      </c>
      <c r="I395" s="21">
        <f>G395*AN395</f>
        <v>0</v>
      </c>
      <c r="J395" s="21">
        <f>G395*AO395</f>
        <v>0</v>
      </c>
      <c r="K395" s="21">
        <f>G395*H395</f>
        <v>0</v>
      </c>
      <c r="L395" s="5"/>
      <c r="Y395" s="37">
        <f>IF(AP395="5",BI395,0)</f>
        <v>0</v>
      </c>
      <c r="AA395" s="37">
        <f>IF(AP395="1",BG395,0)</f>
        <v>0</v>
      </c>
      <c r="AB395" s="37">
        <f>IF(AP395="1",BH395,0)</f>
        <v>0</v>
      </c>
      <c r="AC395" s="37">
        <f>IF(AP395="7",BG395,0)</f>
        <v>0</v>
      </c>
      <c r="AD395" s="37">
        <f>IF(AP395="7",BH395,0)</f>
        <v>0</v>
      </c>
      <c r="AE395" s="37">
        <f>IF(AP395="2",BG395,0)</f>
        <v>0</v>
      </c>
      <c r="AF395" s="37">
        <f>IF(AP395="2",BH395,0)</f>
        <v>0</v>
      </c>
      <c r="AG395" s="37">
        <f>IF(AP395="0",BI395,0)</f>
        <v>0</v>
      </c>
      <c r="AH395" s="36"/>
      <c r="AI395" s="21">
        <f>IF(AM395=0,K395,0)</f>
        <v>0</v>
      </c>
      <c r="AJ395" s="21">
        <f>IF(AM395=15,K395,0)</f>
        <v>0</v>
      </c>
      <c r="AK395" s="21">
        <f>IF(AM395=21,K395,0)</f>
        <v>0</v>
      </c>
      <c r="AM395" s="37">
        <v>21</v>
      </c>
      <c r="AN395" s="37">
        <f>H395*0</f>
        <v>0</v>
      </c>
      <c r="AO395" s="37">
        <f>H395*(1-0)</f>
        <v>0</v>
      </c>
      <c r="AP395" s="38" t="s">
        <v>8</v>
      </c>
      <c r="AU395" s="37">
        <f>AV395+AW395</f>
        <v>0</v>
      </c>
      <c r="AV395" s="37">
        <f>G395*AN395</f>
        <v>0</v>
      </c>
      <c r="AW395" s="37">
        <f>G395*AO395</f>
        <v>0</v>
      </c>
      <c r="AX395" s="40" t="s">
        <v>1107</v>
      </c>
      <c r="AY395" s="40" t="s">
        <v>1120</v>
      </c>
      <c r="AZ395" s="36" t="s">
        <v>1122</v>
      </c>
      <c r="BB395" s="37">
        <f>AV395+AW395</f>
        <v>0</v>
      </c>
      <c r="BC395" s="37">
        <f>H395/(100-BD395)*100</f>
        <v>0</v>
      </c>
      <c r="BD395" s="37">
        <v>0</v>
      </c>
      <c r="BE395" s="37">
        <f>395</f>
        <v>395</v>
      </c>
      <c r="BG395" s="21">
        <f>G395*AN395</f>
        <v>0</v>
      </c>
      <c r="BH395" s="21">
        <f>G395*AO395</f>
        <v>0</v>
      </c>
      <c r="BI395" s="21">
        <f>G395*H395</f>
        <v>0</v>
      </c>
      <c r="BJ395" s="21" t="s">
        <v>1127</v>
      </c>
      <c r="BK395" s="37" t="s">
        <v>596</v>
      </c>
    </row>
    <row r="396" spans="1:63" x14ac:dyDescent="0.25">
      <c r="A396" s="5"/>
      <c r="C396" s="119" t="s">
        <v>994</v>
      </c>
      <c r="D396" s="120"/>
      <c r="E396" s="120"/>
      <c r="G396" s="22">
        <v>6</v>
      </c>
      <c r="L396" s="5"/>
    </row>
    <row r="397" spans="1:63" x14ac:dyDescent="0.25">
      <c r="A397" s="4" t="s">
        <v>286</v>
      </c>
      <c r="B397" s="14" t="s">
        <v>599</v>
      </c>
      <c r="C397" s="117" t="s">
        <v>995</v>
      </c>
      <c r="D397" s="118"/>
      <c r="E397" s="118"/>
      <c r="F397" s="14" t="s">
        <v>1026</v>
      </c>
      <c r="G397" s="21">
        <v>13</v>
      </c>
      <c r="H397" s="21">
        <v>0</v>
      </c>
      <c r="I397" s="21">
        <f>G397*AN397</f>
        <v>0</v>
      </c>
      <c r="J397" s="21">
        <f>G397*AO397</f>
        <v>0</v>
      </c>
      <c r="K397" s="21">
        <f t="shared" ref="K397:K402" si="198">G397*H397</f>
        <v>0</v>
      </c>
      <c r="L397" s="5"/>
      <c r="Y397" s="37">
        <f t="shared" ref="Y397:Y402" si="199">IF(AP397="5",BI397,0)</f>
        <v>0</v>
      </c>
      <c r="AA397" s="37">
        <f t="shared" ref="AA397:AA402" si="200">IF(AP397="1",BG397,0)</f>
        <v>0</v>
      </c>
      <c r="AB397" s="37">
        <f t="shared" ref="AB397:AB402" si="201">IF(AP397="1",BH397,0)</f>
        <v>0</v>
      </c>
      <c r="AC397" s="37">
        <f t="shared" ref="AC397:AC402" si="202">IF(AP397="7",BG397,0)</f>
        <v>0</v>
      </c>
      <c r="AD397" s="37">
        <f t="shared" ref="AD397:AD402" si="203">IF(AP397="7",BH397,0)</f>
        <v>0</v>
      </c>
      <c r="AE397" s="37">
        <f t="shared" ref="AE397:AE402" si="204">IF(AP397="2",BG397,0)</f>
        <v>0</v>
      </c>
      <c r="AF397" s="37">
        <f t="shared" ref="AF397:AF402" si="205">IF(AP397="2",BH397,0)</f>
        <v>0</v>
      </c>
      <c r="AG397" s="37">
        <f t="shared" ref="AG397:AG402" si="206">IF(AP397="0",BI397,0)</f>
        <v>0</v>
      </c>
      <c r="AH397" s="36"/>
      <c r="AI397" s="21">
        <f>IF(AM397=0,K397,0)</f>
        <v>0</v>
      </c>
      <c r="AJ397" s="21">
        <f>IF(AM397=15,K397,0)</f>
        <v>0</v>
      </c>
      <c r="AK397" s="21">
        <f>IF(AM397=21,K397,0)</f>
        <v>0</v>
      </c>
      <c r="AM397" s="37">
        <v>21</v>
      </c>
      <c r="AN397" s="37">
        <f>H397*0.396341463414634</f>
        <v>0</v>
      </c>
      <c r="AO397" s="37">
        <f>H397*(1-0.396341463414634)</f>
        <v>0</v>
      </c>
      <c r="AP397" s="38" t="s">
        <v>8</v>
      </c>
      <c r="AU397" s="37">
        <f t="shared" ref="AU397:AU402" si="207">AV397+AW397</f>
        <v>0</v>
      </c>
      <c r="AV397" s="37">
        <f>G397*AN397</f>
        <v>0</v>
      </c>
      <c r="AW397" s="37">
        <f>G397*AO397</f>
        <v>0</v>
      </c>
      <c r="AX397" s="40" t="s">
        <v>1107</v>
      </c>
      <c r="AY397" s="40" t="s">
        <v>1120</v>
      </c>
      <c r="AZ397" s="36" t="s">
        <v>1122</v>
      </c>
      <c r="BB397" s="37">
        <f t="shared" ref="BB397:BB402" si="208">AV397+AW397</f>
        <v>0</v>
      </c>
      <c r="BC397" s="37">
        <f>H397/(100-BD397)*100</f>
        <v>0</v>
      </c>
      <c r="BD397" s="37">
        <v>0</v>
      </c>
      <c r="BE397" s="37">
        <f>397</f>
        <v>397</v>
      </c>
      <c r="BG397" s="21">
        <f>G397*AN397</f>
        <v>0</v>
      </c>
      <c r="BH397" s="21">
        <f>G397*AO397</f>
        <v>0</v>
      </c>
      <c r="BI397" s="21">
        <f>G397*H397</f>
        <v>0</v>
      </c>
      <c r="BJ397" s="21" t="s">
        <v>1127</v>
      </c>
      <c r="BK397" s="37" t="s">
        <v>596</v>
      </c>
    </row>
    <row r="398" spans="1:63" x14ac:dyDescent="0.25">
      <c r="A398" s="4" t="s">
        <v>287</v>
      </c>
      <c r="B398" s="14" t="s">
        <v>600</v>
      </c>
      <c r="C398" s="117" t="s">
        <v>996</v>
      </c>
      <c r="D398" s="118"/>
      <c r="E398" s="118"/>
      <c r="F398" s="14" t="s">
        <v>1024</v>
      </c>
      <c r="G398" s="21">
        <v>1</v>
      </c>
      <c r="H398" s="21">
        <v>0</v>
      </c>
      <c r="I398" s="21">
        <f>G398*AN398</f>
        <v>0</v>
      </c>
      <c r="J398" s="21">
        <f>G398*AO398</f>
        <v>0</v>
      </c>
      <c r="K398" s="21">
        <f t="shared" si="198"/>
        <v>0</v>
      </c>
      <c r="L398" s="5"/>
      <c r="Y398" s="37">
        <f t="shared" si="199"/>
        <v>0</v>
      </c>
      <c r="AA398" s="37">
        <f t="shared" si="200"/>
        <v>0</v>
      </c>
      <c r="AB398" s="37">
        <f t="shared" si="201"/>
        <v>0</v>
      </c>
      <c r="AC398" s="37">
        <f t="shared" si="202"/>
        <v>0</v>
      </c>
      <c r="AD398" s="37">
        <f t="shared" si="203"/>
        <v>0</v>
      </c>
      <c r="AE398" s="37">
        <f t="shared" si="204"/>
        <v>0</v>
      </c>
      <c r="AF398" s="37">
        <f t="shared" si="205"/>
        <v>0</v>
      </c>
      <c r="AG398" s="37">
        <f t="shared" si="206"/>
        <v>0</v>
      </c>
      <c r="AH398" s="36"/>
      <c r="AI398" s="21">
        <f>IF(AM398=0,K398,0)</f>
        <v>0</v>
      </c>
      <c r="AJ398" s="21">
        <f>IF(AM398=15,K398,0)</f>
        <v>0</v>
      </c>
      <c r="AK398" s="21">
        <f>IF(AM398=21,K398,0)</f>
        <v>0</v>
      </c>
      <c r="AM398" s="37">
        <v>21</v>
      </c>
      <c r="AN398" s="37">
        <f>H398*0</f>
        <v>0</v>
      </c>
      <c r="AO398" s="37">
        <f>H398*(1-0)</f>
        <v>0</v>
      </c>
      <c r="AP398" s="38" t="s">
        <v>8</v>
      </c>
      <c r="AU398" s="37">
        <f t="shared" si="207"/>
        <v>0</v>
      </c>
      <c r="AV398" s="37">
        <f>G398*AN398</f>
        <v>0</v>
      </c>
      <c r="AW398" s="37">
        <f>G398*AO398</f>
        <v>0</v>
      </c>
      <c r="AX398" s="40" t="s">
        <v>1107</v>
      </c>
      <c r="AY398" s="40" t="s">
        <v>1120</v>
      </c>
      <c r="AZ398" s="36" t="s">
        <v>1122</v>
      </c>
      <c r="BB398" s="37">
        <f t="shared" si="208"/>
        <v>0</v>
      </c>
      <c r="BC398" s="37">
        <f>H398/(100-BD398)*100</f>
        <v>0</v>
      </c>
      <c r="BD398" s="37">
        <v>0</v>
      </c>
      <c r="BE398" s="37">
        <f>398</f>
        <v>398</v>
      </c>
      <c r="BG398" s="21">
        <f>G398*AN398</f>
        <v>0</v>
      </c>
      <c r="BH398" s="21">
        <f>G398*AO398</f>
        <v>0</v>
      </c>
      <c r="BI398" s="21">
        <f>G398*H398</f>
        <v>0</v>
      </c>
      <c r="BJ398" s="21" t="s">
        <v>1127</v>
      </c>
      <c r="BK398" s="37" t="s">
        <v>596</v>
      </c>
    </row>
    <row r="399" spans="1:63" x14ac:dyDescent="0.25">
      <c r="A399" s="7" t="s">
        <v>288</v>
      </c>
      <c r="B399" s="16" t="s">
        <v>601</v>
      </c>
      <c r="C399" s="123" t="s">
        <v>997</v>
      </c>
      <c r="D399" s="124"/>
      <c r="E399" s="124"/>
      <c r="F399" s="16" t="s">
        <v>1024</v>
      </c>
      <c r="G399" s="23">
        <v>1</v>
      </c>
      <c r="H399" s="23">
        <v>0</v>
      </c>
      <c r="I399" s="23">
        <f>G399*AN399</f>
        <v>0</v>
      </c>
      <c r="J399" s="23">
        <f>G399*AO399</f>
        <v>0</v>
      </c>
      <c r="K399" s="23">
        <f t="shared" si="198"/>
        <v>0</v>
      </c>
      <c r="L399" s="5"/>
      <c r="Y399" s="37">
        <f t="shared" si="199"/>
        <v>0</v>
      </c>
      <c r="AA399" s="37">
        <f t="shared" si="200"/>
        <v>0</v>
      </c>
      <c r="AB399" s="37">
        <f t="shared" si="201"/>
        <v>0</v>
      </c>
      <c r="AC399" s="37">
        <f t="shared" si="202"/>
        <v>0</v>
      </c>
      <c r="AD399" s="37">
        <f t="shared" si="203"/>
        <v>0</v>
      </c>
      <c r="AE399" s="37">
        <f t="shared" si="204"/>
        <v>0</v>
      </c>
      <c r="AF399" s="37">
        <f t="shared" si="205"/>
        <v>0</v>
      </c>
      <c r="AG399" s="37">
        <f t="shared" si="206"/>
        <v>0</v>
      </c>
      <c r="AH399" s="36"/>
      <c r="AI399" s="23">
        <f>IF(AM399=0,K399,0)</f>
        <v>0</v>
      </c>
      <c r="AJ399" s="23">
        <f>IF(AM399=15,K399,0)</f>
        <v>0</v>
      </c>
      <c r="AK399" s="23">
        <f>IF(AM399=21,K399,0)</f>
        <v>0</v>
      </c>
      <c r="AM399" s="37">
        <v>21</v>
      </c>
      <c r="AN399" s="37">
        <f>H399*1</f>
        <v>0</v>
      </c>
      <c r="AO399" s="37">
        <f>H399*(1-1)</f>
        <v>0</v>
      </c>
      <c r="AP399" s="39" t="s">
        <v>7</v>
      </c>
      <c r="AU399" s="37">
        <f t="shared" si="207"/>
        <v>0</v>
      </c>
      <c r="AV399" s="37">
        <f>G399*AN399</f>
        <v>0</v>
      </c>
      <c r="AW399" s="37">
        <f>G399*AO399</f>
        <v>0</v>
      </c>
      <c r="AX399" s="40" t="s">
        <v>1107</v>
      </c>
      <c r="AY399" s="40" t="s">
        <v>1120</v>
      </c>
      <c r="AZ399" s="36" t="s">
        <v>1122</v>
      </c>
      <c r="BB399" s="37">
        <f t="shared" si="208"/>
        <v>0</v>
      </c>
      <c r="BC399" s="37">
        <f>H399/(100-BD399)*100</f>
        <v>0</v>
      </c>
      <c r="BD399" s="37">
        <v>0</v>
      </c>
      <c r="BE399" s="37">
        <f>399</f>
        <v>399</v>
      </c>
      <c r="BG399" s="23">
        <f>G399*AN399</f>
        <v>0</v>
      </c>
      <c r="BH399" s="23">
        <f>G399*AO399</f>
        <v>0</v>
      </c>
      <c r="BI399" s="23">
        <f>G399*H399</f>
        <v>0</v>
      </c>
      <c r="BJ399" s="23" t="s">
        <v>1128</v>
      </c>
      <c r="BK399" s="37" t="s">
        <v>596</v>
      </c>
    </row>
    <row r="400" spans="1:63" x14ac:dyDescent="0.25">
      <c r="A400" s="7" t="s">
        <v>289</v>
      </c>
      <c r="B400" s="16" t="s">
        <v>602</v>
      </c>
      <c r="C400" s="123" t="s">
        <v>998</v>
      </c>
      <c r="D400" s="124"/>
      <c r="E400" s="124"/>
      <c r="F400" s="16" t="s">
        <v>1024</v>
      </c>
      <c r="G400" s="23">
        <v>1</v>
      </c>
      <c r="H400" s="23">
        <v>0</v>
      </c>
      <c r="I400" s="23">
        <f>G400*AN400</f>
        <v>0</v>
      </c>
      <c r="J400" s="23">
        <f>G400*AO400</f>
        <v>0</v>
      </c>
      <c r="K400" s="23">
        <f t="shared" si="198"/>
        <v>0</v>
      </c>
      <c r="L400" s="5"/>
      <c r="Y400" s="37">
        <f t="shared" si="199"/>
        <v>0</v>
      </c>
      <c r="AA400" s="37">
        <f t="shared" si="200"/>
        <v>0</v>
      </c>
      <c r="AB400" s="37">
        <f t="shared" si="201"/>
        <v>0</v>
      </c>
      <c r="AC400" s="37">
        <f t="shared" si="202"/>
        <v>0</v>
      </c>
      <c r="AD400" s="37">
        <f t="shared" si="203"/>
        <v>0</v>
      </c>
      <c r="AE400" s="37">
        <f t="shared" si="204"/>
        <v>0</v>
      </c>
      <c r="AF400" s="37">
        <f t="shared" si="205"/>
        <v>0</v>
      </c>
      <c r="AG400" s="37">
        <f t="shared" si="206"/>
        <v>0</v>
      </c>
      <c r="AH400" s="36"/>
      <c r="AI400" s="23">
        <f>IF(AM400=0,K400,0)</f>
        <v>0</v>
      </c>
      <c r="AJ400" s="23">
        <f>IF(AM400=15,K400,0)</f>
        <v>0</v>
      </c>
      <c r="AK400" s="23">
        <f>IF(AM400=21,K400,0)</f>
        <v>0</v>
      </c>
      <c r="AM400" s="37">
        <v>21</v>
      </c>
      <c r="AN400" s="37">
        <f>H400*1</f>
        <v>0</v>
      </c>
      <c r="AO400" s="37">
        <f>H400*(1-1)</f>
        <v>0</v>
      </c>
      <c r="AP400" s="39" t="s">
        <v>7</v>
      </c>
      <c r="AU400" s="37">
        <f t="shared" si="207"/>
        <v>0</v>
      </c>
      <c r="AV400" s="37">
        <f>G400*AN400</f>
        <v>0</v>
      </c>
      <c r="AW400" s="37">
        <f>G400*AO400</f>
        <v>0</v>
      </c>
      <c r="AX400" s="40" t="s">
        <v>1107</v>
      </c>
      <c r="AY400" s="40" t="s">
        <v>1120</v>
      </c>
      <c r="AZ400" s="36" t="s">
        <v>1122</v>
      </c>
      <c r="BB400" s="37">
        <f t="shared" si="208"/>
        <v>0</v>
      </c>
      <c r="BC400" s="37">
        <f>H400/(100-BD400)*100</f>
        <v>0</v>
      </c>
      <c r="BD400" s="37">
        <v>0</v>
      </c>
      <c r="BE400" s="37">
        <f>400</f>
        <v>400</v>
      </c>
      <c r="BG400" s="23">
        <f>G400*AN400</f>
        <v>0</v>
      </c>
      <c r="BH400" s="23">
        <f>G400*AO400</f>
        <v>0</v>
      </c>
      <c r="BI400" s="23">
        <f>G400*H400</f>
        <v>0</v>
      </c>
      <c r="BJ400" s="23" t="s">
        <v>1128</v>
      </c>
      <c r="BK400" s="37" t="s">
        <v>596</v>
      </c>
    </row>
    <row r="401" spans="1:63" x14ac:dyDescent="0.25">
      <c r="A401" s="4" t="s">
        <v>290</v>
      </c>
      <c r="B401" s="14" t="s">
        <v>603</v>
      </c>
      <c r="C401" s="117" t="s">
        <v>999</v>
      </c>
      <c r="D401" s="118"/>
      <c r="E401" s="118"/>
      <c r="F401" s="14" t="s">
        <v>1023</v>
      </c>
      <c r="G401" s="21">
        <v>40</v>
      </c>
      <c r="H401" s="21">
        <v>0</v>
      </c>
      <c r="I401" s="21">
        <f>G401*AN401</f>
        <v>0</v>
      </c>
      <c r="J401" s="21">
        <f>G401*AO401</f>
        <v>0</v>
      </c>
      <c r="K401" s="21">
        <f t="shared" si="198"/>
        <v>0</v>
      </c>
      <c r="L401" s="5"/>
      <c r="Y401" s="37">
        <f t="shared" si="199"/>
        <v>0</v>
      </c>
      <c r="AA401" s="37">
        <f t="shared" si="200"/>
        <v>0</v>
      </c>
      <c r="AB401" s="37">
        <f t="shared" si="201"/>
        <v>0</v>
      </c>
      <c r="AC401" s="37">
        <f t="shared" si="202"/>
        <v>0</v>
      </c>
      <c r="AD401" s="37">
        <f t="shared" si="203"/>
        <v>0</v>
      </c>
      <c r="AE401" s="37">
        <f t="shared" si="204"/>
        <v>0</v>
      </c>
      <c r="AF401" s="37">
        <f t="shared" si="205"/>
        <v>0</v>
      </c>
      <c r="AG401" s="37">
        <f t="shared" si="206"/>
        <v>0</v>
      </c>
      <c r="AH401" s="36"/>
      <c r="AI401" s="21">
        <f>IF(AM401=0,K401,0)</f>
        <v>0</v>
      </c>
      <c r="AJ401" s="21">
        <f>IF(AM401=15,K401,0)</f>
        <v>0</v>
      </c>
      <c r="AK401" s="21">
        <f>IF(AM401=21,K401,0)</f>
        <v>0</v>
      </c>
      <c r="AM401" s="37">
        <v>21</v>
      </c>
      <c r="AN401" s="37">
        <f>H401*0</f>
        <v>0</v>
      </c>
      <c r="AO401" s="37">
        <f>H401*(1-0)</f>
        <v>0</v>
      </c>
      <c r="AP401" s="38" t="s">
        <v>8</v>
      </c>
      <c r="AU401" s="37">
        <f t="shared" si="207"/>
        <v>0</v>
      </c>
      <c r="AV401" s="37">
        <f>G401*AN401</f>
        <v>0</v>
      </c>
      <c r="AW401" s="37">
        <f>G401*AO401</f>
        <v>0</v>
      </c>
      <c r="AX401" s="40" t="s">
        <v>1107</v>
      </c>
      <c r="AY401" s="40" t="s">
        <v>1120</v>
      </c>
      <c r="AZ401" s="36" t="s">
        <v>1122</v>
      </c>
      <c r="BB401" s="37">
        <f t="shared" si="208"/>
        <v>0</v>
      </c>
      <c r="BC401" s="37">
        <f>H401/(100-BD401)*100</f>
        <v>0</v>
      </c>
      <c r="BD401" s="37">
        <v>0</v>
      </c>
      <c r="BE401" s="37">
        <f>401</f>
        <v>401</v>
      </c>
      <c r="BG401" s="21">
        <f>G401*AN401</f>
        <v>0</v>
      </c>
      <c r="BH401" s="21">
        <f>G401*AO401</f>
        <v>0</v>
      </c>
      <c r="BI401" s="21">
        <f>G401*H401</f>
        <v>0</v>
      </c>
      <c r="BJ401" s="21" t="s">
        <v>1127</v>
      </c>
      <c r="BK401" s="37" t="s">
        <v>596</v>
      </c>
    </row>
    <row r="402" spans="1:63" x14ac:dyDescent="0.25">
      <c r="A402" s="4" t="s">
        <v>291</v>
      </c>
      <c r="B402" s="14" t="s">
        <v>604</v>
      </c>
      <c r="C402" s="117" t="s">
        <v>1000</v>
      </c>
      <c r="D402" s="118"/>
      <c r="E402" s="118"/>
      <c r="F402" s="14" t="s">
        <v>1023</v>
      </c>
      <c r="G402" s="21">
        <v>100</v>
      </c>
      <c r="H402" s="21">
        <v>0</v>
      </c>
      <c r="I402" s="21">
        <f>G402*AN402</f>
        <v>0</v>
      </c>
      <c r="J402" s="21">
        <f>G402*AO402</f>
        <v>0</v>
      </c>
      <c r="K402" s="21">
        <f t="shared" si="198"/>
        <v>0</v>
      </c>
      <c r="L402" s="5"/>
      <c r="Y402" s="37">
        <f t="shared" si="199"/>
        <v>0</v>
      </c>
      <c r="AA402" s="37">
        <f t="shared" si="200"/>
        <v>0</v>
      </c>
      <c r="AB402" s="37">
        <f t="shared" si="201"/>
        <v>0</v>
      </c>
      <c r="AC402" s="37">
        <f t="shared" si="202"/>
        <v>0</v>
      </c>
      <c r="AD402" s="37">
        <f t="shared" si="203"/>
        <v>0</v>
      </c>
      <c r="AE402" s="37">
        <f t="shared" si="204"/>
        <v>0</v>
      </c>
      <c r="AF402" s="37">
        <f t="shared" si="205"/>
        <v>0</v>
      </c>
      <c r="AG402" s="37">
        <f t="shared" si="206"/>
        <v>0</v>
      </c>
      <c r="AH402" s="36"/>
      <c r="AI402" s="21">
        <f>IF(AM402=0,K402,0)</f>
        <v>0</v>
      </c>
      <c r="AJ402" s="21">
        <f>IF(AM402=15,K402,0)</f>
        <v>0</v>
      </c>
      <c r="AK402" s="21">
        <f>IF(AM402=21,K402,0)</f>
        <v>0</v>
      </c>
      <c r="AM402" s="37">
        <v>21</v>
      </c>
      <c r="AN402" s="37">
        <f>H402*0.108695652173913</f>
        <v>0</v>
      </c>
      <c r="AO402" s="37">
        <f>H402*(1-0.108695652173913)</f>
        <v>0</v>
      </c>
      <c r="AP402" s="38" t="s">
        <v>8</v>
      </c>
      <c r="AU402" s="37">
        <f t="shared" si="207"/>
        <v>0</v>
      </c>
      <c r="AV402" s="37">
        <f>G402*AN402</f>
        <v>0</v>
      </c>
      <c r="AW402" s="37">
        <f>G402*AO402</f>
        <v>0</v>
      </c>
      <c r="AX402" s="40" t="s">
        <v>1107</v>
      </c>
      <c r="AY402" s="40" t="s">
        <v>1120</v>
      </c>
      <c r="AZ402" s="36" t="s">
        <v>1122</v>
      </c>
      <c r="BB402" s="37">
        <f t="shared" si="208"/>
        <v>0</v>
      </c>
      <c r="BC402" s="37">
        <f>H402/(100-BD402)*100</f>
        <v>0</v>
      </c>
      <c r="BD402" s="37">
        <v>0</v>
      </c>
      <c r="BE402" s="37">
        <f>402</f>
        <v>402</v>
      </c>
      <c r="BG402" s="21">
        <f>G402*AN402</f>
        <v>0</v>
      </c>
      <c r="BH402" s="21">
        <f>G402*AO402</f>
        <v>0</v>
      </c>
      <c r="BI402" s="21">
        <f>G402*H402</f>
        <v>0</v>
      </c>
      <c r="BJ402" s="21" t="s">
        <v>1127</v>
      </c>
      <c r="BK402" s="37" t="s">
        <v>596</v>
      </c>
    </row>
    <row r="403" spans="1:63" x14ac:dyDescent="0.25">
      <c r="A403" s="6"/>
      <c r="B403" s="15" t="s">
        <v>605</v>
      </c>
      <c r="C403" s="121" t="s">
        <v>1001</v>
      </c>
      <c r="D403" s="122"/>
      <c r="E403" s="122"/>
      <c r="F403" s="19" t="s">
        <v>6</v>
      </c>
      <c r="G403" s="19" t="s">
        <v>6</v>
      </c>
      <c r="H403" s="19" t="s">
        <v>6</v>
      </c>
      <c r="I403" s="43">
        <f>SUM(I404:I410)</f>
        <v>0</v>
      </c>
      <c r="J403" s="43">
        <f>SUM(J404:J410)</f>
        <v>0</v>
      </c>
      <c r="K403" s="43">
        <f>SUM(K404:K410)</f>
        <v>0</v>
      </c>
      <c r="L403" s="5"/>
      <c r="AH403" s="36"/>
      <c r="AR403" s="43">
        <f>SUM(AI404:AI410)</f>
        <v>0</v>
      </c>
      <c r="AS403" s="43">
        <f>SUM(AJ404:AJ410)</f>
        <v>0</v>
      </c>
      <c r="AT403" s="43">
        <f>SUM(AK404:AK410)</f>
        <v>0</v>
      </c>
    </row>
    <row r="404" spans="1:63" x14ac:dyDescent="0.25">
      <c r="A404" s="4" t="s">
        <v>292</v>
      </c>
      <c r="B404" s="14" t="s">
        <v>606</v>
      </c>
      <c r="C404" s="117" t="s">
        <v>1002</v>
      </c>
      <c r="D404" s="118"/>
      <c r="E404" s="118"/>
      <c r="F404" s="14" t="s">
        <v>1025</v>
      </c>
      <c r="G404" s="21">
        <v>1</v>
      </c>
      <c r="H404" s="21">
        <v>0</v>
      </c>
      <c r="I404" s="21">
        <f>G404*AN404</f>
        <v>0</v>
      </c>
      <c r="J404" s="21">
        <f>G404*AO404</f>
        <v>0</v>
      </c>
      <c r="K404" s="21">
        <f t="shared" ref="K404:K410" si="209">G404*H404</f>
        <v>0</v>
      </c>
      <c r="L404" s="5"/>
      <c r="Y404" s="37">
        <f t="shared" ref="Y404:Y410" si="210">IF(AP404="5",BI404,0)</f>
        <v>0</v>
      </c>
      <c r="AA404" s="37">
        <f t="shared" ref="AA404:AA410" si="211">IF(AP404="1",BG404,0)</f>
        <v>0</v>
      </c>
      <c r="AB404" s="37">
        <f t="shared" ref="AB404:AB410" si="212">IF(AP404="1",BH404,0)</f>
        <v>0</v>
      </c>
      <c r="AC404" s="37">
        <f t="shared" ref="AC404:AC410" si="213">IF(AP404="7",BG404,0)</f>
        <v>0</v>
      </c>
      <c r="AD404" s="37">
        <f t="shared" ref="AD404:AD410" si="214">IF(AP404="7",BH404,0)</f>
        <v>0</v>
      </c>
      <c r="AE404" s="37">
        <f t="shared" ref="AE404:AE410" si="215">IF(AP404="2",BG404,0)</f>
        <v>0</v>
      </c>
      <c r="AF404" s="37">
        <f t="shared" ref="AF404:AF410" si="216">IF(AP404="2",BH404,0)</f>
        <v>0</v>
      </c>
      <c r="AG404" s="37">
        <f t="shared" ref="AG404:AG410" si="217">IF(AP404="0",BI404,0)</f>
        <v>0</v>
      </c>
      <c r="AH404" s="36"/>
      <c r="AI404" s="21">
        <f>IF(AM404=0,K404,0)</f>
        <v>0</v>
      </c>
      <c r="AJ404" s="21">
        <f>IF(AM404=15,K404,0)</f>
        <v>0</v>
      </c>
      <c r="AK404" s="21">
        <f>IF(AM404=21,K404,0)</f>
        <v>0</v>
      </c>
      <c r="AM404" s="37">
        <v>21</v>
      </c>
      <c r="AN404" s="37">
        <f>H404*0</f>
        <v>0</v>
      </c>
      <c r="AO404" s="37">
        <f>H404*(1-0)</f>
        <v>0</v>
      </c>
      <c r="AP404" s="38" t="s">
        <v>8</v>
      </c>
      <c r="AU404" s="37">
        <f t="shared" ref="AU404:AU410" si="218">AV404+AW404</f>
        <v>0</v>
      </c>
      <c r="AV404" s="37">
        <f>G404*AN404</f>
        <v>0</v>
      </c>
      <c r="AW404" s="37">
        <f>G404*AO404</f>
        <v>0</v>
      </c>
      <c r="AX404" s="40" t="s">
        <v>1108</v>
      </c>
      <c r="AY404" s="40" t="s">
        <v>1120</v>
      </c>
      <c r="AZ404" s="36" t="s">
        <v>1122</v>
      </c>
      <c r="BB404" s="37">
        <f t="shared" ref="BB404:BB410" si="219">AV404+AW404</f>
        <v>0</v>
      </c>
      <c r="BC404" s="37">
        <f>H404/(100-BD404)*100</f>
        <v>0</v>
      </c>
      <c r="BD404" s="37">
        <v>0</v>
      </c>
      <c r="BE404" s="37">
        <f>404</f>
        <v>404</v>
      </c>
      <c r="BG404" s="21">
        <f>G404*AN404</f>
        <v>0</v>
      </c>
      <c r="BH404" s="21">
        <f>G404*AO404</f>
        <v>0</v>
      </c>
      <c r="BI404" s="21">
        <f t="shared" ref="BI404:BI410" si="220">G404*H404</f>
        <v>0</v>
      </c>
      <c r="BJ404" s="21" t="s">
        <v>1127</v>
      </c>
      <c r="BK404" s="37" t="s">
        <v>605</v>
      </c>
    </row>
    <row r="405" spans="1:63" x14ac:dyDescent="0.25">
      <c r="A405" s="4" t="s">
        <v>293</v>
      </c>
      <c r="B405" s="14" t="s">
        <v>607</v>
      </c>
      <c r="C405" s="117" t="s">
        <v>1003</v>
      </c>
      <c r="D405" s="118"/>
      <c r="E405" s="118"/>
      <c r="F405" s="14" t="s">
        <v>1025</v>
      </c>
      <c r="G405" s="21">
        <v>2</v>
      </c>
      <c r="H405" s="21">
        <v>0</v>
      </c>
      <c r="I405" s="21">
        <f>G405*AN405</f>
        <v>0</v>
      </c>
      <c r="J405" s="21">
        <f>G405*AO405</f>
        <v>0</v>
      </c>
      <c r="K405" s="21">
        <f t="shared" si="209"/>
        <v>0</v>
      </c>
      <c r="L405" s="5"/>
      <c r="Y405" s="37">
        <f t="shared" si="210"/>
        <v>0</v>
      </c>
      <c r="AA405" s="37">
        <f t="shared" si="211"/>
        <v>0</v>
      </c>
      <c r="AB405" s="37">
        <f t="shared" si="212"/>
        <v>0</v>
      </c>
      <c r="AC405" s="37">
        <f t="shared" si="213"/>
        <v>0</v>
      </c>
      <c r="AD405" s="37">
        <f t="shared" si="214"/>
        <v>0</v>
      </c>
      <c r="AE405" s="37">
        <f t="shared" si="215"/>
        <v>0</v>
      </c>
      <c r="AF405" s="37">
        <f t="shared" si="216"/>
        <v>0</v>
      </c>
      <c r="AG405" s="37">
        <f t="shared" si="217"/>
        <v>0</v>
      </c>
      <c r="AH405" s="36"/>
      <c r="AI405" s="21">
        <f>IF(AM405=0,K405,0)</f>
        <v>0</v>
      </c>
      <c r="AJ405" s="21">
        <f>IF(AM405=15,K405,0)</f>
        <v>0</v>
      </c>
      <c r="AK405" s="21">
        <f>IF(AM405=21,K405,0)</f>
        <v>0</v>
      </c>
      <c r="AM405" s="37">
        <v>21</v>
      </c>
      <c r="AN405" s="37">
        <f>H405*0</f>
        <v>0</v>
      </c>
      <c r="AO405" s="37">
        <f>H405*(1-0)</f>
        <v>0</v>
      </c>
      <c r="AP405" s="38" t="s">
        <v>8</v>
      </c>
      <c r="AU405" s="37">
        <f t="shared" si="218"/>
        <v>0</v>
      </c>
      <c r="AV405" s="37">
        <f>G405*AN405</f>
        <v>0</v>
      </c>
      <c r="AW405" s="37">
        <f>G405*AO405</f>
        <v>0</v>
      </c>
      <c r="AX405" s="40" t="s">
        <v>1108</v>
      </c>
      <c r="AY405" s="40" t="s">
        <v>1120</v>
      </c>
      <c r="AZ405" s="36" t="s">
        <v>1122</v>
      </c>
      <c r="BB405" s="37">
        <f t="shared" si="219"/>
        <v>0</v>
      </c>
      <c r="BC405" s="37">
        <f>H405/(100-BD405)*100</f>
        <v>0</v>
      </c>
      <c r="BD405" s="37">
        <v>0</v>
      </c>
      <c r="BE405" s="37">
        <f>405</f>
        <v>405</v>
      </c>
      <c r="BG405" s="21">
        <f>G405*AN405</f>
        <v>0</v>
      </c>
      <c r="BH405" s="21">
        <f>G405*AO405</f>
        <v>0</v>
      </c>
      <c r="BI405" s="21">
        <f t="shared" si="220"/>
        <v>0</v>
      </c>
      <c r="BJ405" s="21" t="s">
        <v>1127</v>
      </c>
      <c r="BK405" s="37" t="s">
        <v>605</v>
      </c>
    </row>
    <row r="406" spans="1:63" x14ac:dyDescent="0.25">
      <c r="A406" s="4" t="s">
        <v>294</v>
      </c>
      <c r="B406" s="14" t="s">
        <v>608</v>
      </c>
      <c r="C406" s="117" t="s">
        <v>1004</v>
      </c>
      <c r="D406" s="118"/>
      <c r="E406" s="118"/>
      <c r="F406" s="14" t="s">
        <v>1025</v>
      </c>
      <c r="G406" s="21">
        <v>1</v>
      </c>
      <c r="H406" s="21">
        <v>0</v>
      </c>
      <c r="I406" s="21">
        <f>G406*AN406</f>
        <v>0</v>
      </c>
      <c r="J406" s="21">
        <f>G406*AO406</f>
        <v>0</v>
      </c>
      <c r="K406" s="21">
        <f t="shared" si="209"/>
        <v>0</v>
      </c>
      <c r="L406" s="5"/>
      <c r="Y406" s="37">
        <f t="shared" si="210"/>
        <v>0</v>
      </c>
      <c r="AA406" s="37">
        <f t="shared" si="211"/>
        <v>0</v>
      </c>
      <c r="AB406" s="37">
        <f t="shared" si="212"/>
        <v>0</v>
      </c>
      <c r="AC406" s="37">
        <f t="shared" si="213"/>
        <v>0</v>
      </c>
      <c r="AD406" s="37">
        <f t="shared" si="214"/>
        <v>0</v>
      </c>
      <c r="AE406" s="37">
        <f t="shared" si="215"/>
        <v>0</v>
      </c>
      <c r="AF406" s="37">
        <f t="shared" si="216"/>
        <v>0</v>
      </c>
      <c r="AG406" s="37">
        <f t="shared" si="217"/>
        <v>0</v>
      </c>
      <c r="AH406" s="36"/>
      <c r="AI406" s="21">
        <f>IF(AM406=0,K406,0)</f>
        <v>0</v>
      </c>
      <c r="AJ406" s="21">
        <f>IF(AM406=15,K406,0)</f>
        <v>0</v>
      </c>
      <c r="AK406" s="21">
        <f>IF(AM406=21,K406,0)</f>
        <v>0</v>
      </c>
      <c r="AM406" s="37">
        <v>21</v>
      </c>
      <c r="AN406" s="37">
        <f>H406*0</f>
        <v>0</v>
      </c>
      <c r="AO406" s="37">
        <f>H406*(1-0)</f>
        <v>0</v>
      </c>
      <c r="AP406" s="38" t="s">
        <v>8</v>
      </c>
      <c r="AU406" s="37">
        <f t="shared" si="218"/>
        <v>0</v>
      </c>
      <c r="AV406" s="37">
        <f>G406*AN406</f>
        <v>0</v>
      </c>
      <c r="AW406" s="37">
        <f>G406*AO406</f>
        <v>0</v>
      </c>
      <c r="AX406" s="40" t="s">
        <v>1108</v>
      </c>
      <c r="AY406" s="40" t="s">
        <v>1120</v>
      </c>
      <c r="AZ406" s="36" t="s">
        <v>1122</v>
      </c>
      <c r="BB406" s="37">
        <f t="shared" si="219"/>
        <v>0</v>
      </c>
      <c r="BC406" s="37">
        <f>H406/(100-BD406)*100</f>
        <v>0</v>
      </c>
      <c r="BD406" s="37">
        <v>0</v>
      </c>
      <c r="BE406" s="37">
        <f>406</f>
        <v>406</v>
      </c>
      <c r="BG406" s="21">
        <f>G406*AN406</f>
        <v>0</v>
      </c>
      <c r="BH406" s="21">
        <f>G406*AO406</f>
        <v>0</v>
      </c>
      <c r="BI406" s="21">
        <f t="shared" si="220"/>
        <v>0</v>
      </c>
      <c r="BJ406" s="21" t="s">
        <v>1127</v>
      </c>
      <c r="BK406" s="37" t="s">
        <v>605</v>
      </c>
    </row>
    <row r="407" spans="1:63" x14ac:dyDescent="0.25">
      <c r="A407" s="4" t="s">
        <v>295</v>
      </c>
      <c r="B407" s="14" t="s">
        <v>609</v>
      </c>
      <c r="C407" s="117" t="s">
        <v>1005</v>
      </c>
      <c r="D407" s="118"/>
      <c r="E407" s="118"/>
      <c r="F407" s="14" t="s">
        <v>1025</v>
      </c>
      <c r="G407" s="21">
        <v>1</v>
      </c>
      <c r="H407" s="21">
        <v>0</v>
      </c>
      <c r="I407" s="21">
        <f>G407*AN407</f>
        <v>0</v>
      </c>
      <c r="J407" s="21">
        <f>G407*AO407</f>
        <v>0</v>
      </c>
      <c r="K407" s="21">
        <f t="shared" si="209"/>
        <v>0</v>
      </c>
      <c r="L407" s="5"/>
      <c r="Y407" s="37">
        <f t="shared" si="210"/>
        <v>0</v>
      </c>
      <c r="AA407" s="37">
        <f t="shared" si="211"/>
        <v>0</v>
      </c>
      <c r="AB407" s="37">
        <f t="shared" si="212"/>
        <v>0</v>
      </c>
      <c r="AC407" s="37">
        <f t="shared" si="213"/>
        <v>0</v>
      </c>
      <c r="AD407" s="37">
        <f t="shared" si="214"/>
        <v>0</v>
      </c>
      <c r="AE407" s="37">
        <f t="shared" si="215"/>
        <v>0</v>
      </c>
      <c r="AF407" s="37">
        <f t="shared" si="216"/>
        <v>0</v>
      </c>
      <c r="AG407" s="37">
        <f t="shared" si="217"/>
        <v>0</v>
      </c>
      <c r="AH407" s="36"/>
      <c r="AI407" s="21">
        <f>IF(AM407=0,K407,0)</f>
        <v>0</v>
      </c>
      <c r="AJ407" s="21">
        <f>IF(AM407=15,K407,0)</f>
        <v>0</v>
      </c>
      <c r="AK407" s="21">
        <f>IF(AM407=21,K407,0)</f>
        <v>0</v>
      </c>
      <c r="AM407" s="37">
        <v>21</v>
      </c>
      <c r="AN407" s="37">
        <f>H407*0</f>
        <v>0</v>
      </c>
      <c r="AO407" s="37">
        <f>H407*(1-0)</f>
        <v>0</v>
      </c>
      <c r="AP407" s="38" t="s">
        <v>8</v>
      </c>
      <c r="AU407" s="37">
        <f t="shared" si="218"/>
        <v>0</v>
      </c>
      <c r="AV407" s="37">
        <f>G407*AN407</f>
        <v>0</v>
      </c>
      <c r="AW407" s="37">
        <f>G407*AO407</f>
        <v>0</v>
      </c>
      <c r="AX407" s="40" t="s">
        <v>1108</v>
      </c>
      <c r="AY407" s="40" t="s">
        <v>1120</v>
      </c>
      <c r="AZ407" s="36" t="s">
        <v>1122</v>
      </c>
      <c r="BB407" s="37">
        <f t="shared" si="219"/>
        <v>0</v>
      </c>
      <c r="BC407" s="37">
        <f>H407/(100-BD407)*100</f>
        <v>0</v>
      </c>
      <c r="BD407" s="37">
        <v>0</v>
      </c>
      <c r="BE407" s="37">
        <f>407</f>
        <v>407</v>
      </c>
      <c r="BG407" s="21">
        <f>G407*AN407</f>
        <v>0</v>
      </c>
      <c r="BH407" s="21">
        <f>G407*AO407</f>
        <v>0</v>
      </c>
      <c r="BI407" s="21">
        <f t="shared" si="220"/>
        <v>0</v>
      </c>
      <c r="BJ407" s="21" t="s">
        <v>1127</v>
      </c>
      <c r="BK407" s="37" t="s">
        <v>605</v>
      </c>
    </row>
    <row r="408" spans="1:63" x14ac:dyDescent="0.25">
      <c r="A408" s="4" t="s">
        <v>296</v>
      </c>
      <c r="B408" s="14" t="s">
        <v>610</v>
      </c>
      <c r="C408" s="117" t="s">
        <v>1006</v>
      </c>
      <c r="D408" s="118"/>
      <c r="E408" s="118"/>
      <c r="F408" s="14" t="s">
        <v>1025</v>
      </c>
      <c r="G408" s="21">
        <v>1</v>
      </c>
      <c r="H408" s="21">
        <v>0</v>
      </c>
      <c r="I408" s="21">
        <f>G408*AN408</f>
        <v>0</v>
      </c>
      <c r="J408" s="21">
        <f>G408*AO408</f>
        <v>0</v>
      </c>
      <c r="K408" s="21">
        <f t="shared" si="209"/>
        <v>0</v>
      </c>
      <c r="L408" s="5"/>
      <c r="Y408" s="37">
        <f t="shared" si="210"/>
        <v>0</v>
      </c>
      <c r="AA408" s="37">
        <f t="shared" si="211"/>
        <v>0</v>
      </c>
      <c r="AB408" s="37">
        <f t="shared" si="212"/>
        <v>0</v>
      </c>
      <c r="AC408" s="37">
        <f t="shared" si="213"/>
        <v>0</v>
      </c>
      <c r="AD408" s="37">
        <f t="shared" si="214"/>
        <v>0</v>
      </c>
      <c r="AE408" s="37">
        <f t="shared" si="215"/>
        <v>0</v>
      </c>
      <c r="AF408" s="37">
        <f t="shared" si="216"/>
        <v>0</v>
      </c>
      <c r="AG408" s="37">
        <f t="shared" si="217"/>
        <v>0</v>
      </c>
      <c r="AH408" s="36"/>
      <c r="AI408" s="21">
        <f>IF(AM408=0,K408,0)</f>
        <v>0</v>
      </c>
      <c r="AJ408" s="21">
        <f>IF(AM408=15,K408,0)</f>
        <v>0</v>
      </c>
      <c r="AK408" s="21">
        <f>IF(AM408=21,K408,0)</f>
        <v>0</v>
      </c>
      <c r="AM408" s="37">
        <v>21</v>
      </c>
      <c r="AN408" s="37">
        <f>H408*0</f>
        <v>0</v>
      </c>
      <c r="AO408" s="37">
        <f>H408*(1-0)</f>
        <v>0</v>
      </c>
      <c r="AP408" s="38" t="s">
        <v>8</v>
      </c>
      <c r="AU408" s="37">
        <f t="shared" si="218"/>
        <v>0</v>
      </c>
      <c r="AV408" s="37">
        <f>G408*AN408</f>
        <v>0</v>
      </c>
      <c r="AW408" s="37">
        <f>G408*AO408</f>
        <v>0</v>
      </c>
      <c r="AX408" s="40" t="s">
        <v>1108</v>
      </c>
      <c r="AY408" s="40" t="s">
        <v>1120</v>
      </c>
      <c r="AZ408" s="36" t="s">
        <v>1122</v>
      </c>
      <c r="BB408" s="37">
        <f t="shared" si="219"/>
        <v>0</v>
      </c>
      <c r="BC408" s="37">
        <f>H408/(100-BD408)*100</f>
        <v>0</v>
      </c>
      <c r="BD408" s="37">
        <v>0</v>
      </c>
      <c r="BE408" s="37">
        <f>408</f>
        <v>408</v>
      </c>
      <c r="BG408" s="21">
        <f>G408*AN408</f>
        <v>0</v>
      </c>
      <c r="BH408" s="21">
        <f>G408*AO408</f>
        <v>0</v>
      </c>
      <c r="BI408" s="21">
        <f t="shared" si="220"/>
        <v>0</v>
      </c>
      <c r="BJ408" s="21" t="s">
        <v>1127</v>
      </c>
      <c r="BK408" s="37" t="s">
        <v>605</v>
      </c>
    </row>
    <row r="409" spans="1:63" x14ac:dyDescent="0.25">
      <c r="A409" s="4" t="s">
        <v>297</v>
      </c>
      <c r="B409" s="14" t="s">
        <v>611</v>
      </c>
      <c r="C409" s="117" t="s">
        <v>1007</v>
      </c>
      <c r="D409" s="118"/>
      <c r="E409" s="118"/>
      <c r="F409" s="14" t="s">
        <v>1025</v>
      </c>
      <c r="G409" s="21">
        <v>1</v>
      </c>
      <c r="H409" s="21">
        <v>0</v>
      </c>
      <c r="I409" s="21">
        <f>G409*AN409</f>
        <v>0</v>
      </c>
      <c r="J409" s="21">
        <f>G409*AO409</f>
        <v>0</v>
      </c>
      <c r="K409" s="21">
        <f t="shared" si="209"/>
        <v>0</v>
      </c>
      <c r="L409" s="5"/>
      <c r="Y409" s="37">
        <f t="shared" si="210"/>
        <v>0</v>
      </c>
      <c r="AA409" s="37">
        <f t="shared" si="211"/>
        <v>0</v>
      </c>
      <c r="AB409" s="37">
        <f t="shared" si="212"/>
        <v>0</v>
      </c>
      <c r="AC409" s="37">
        <f t="shared" si="213"/>
        <v>0</v>
      </c>
      <c r="AD409" s="37">
        <f t="shared" si="214"/>
        <v>0</v>
      </c>
      <c r="AE409" s="37">
        <f t="shared" si="215"/>
        <v>0</v>
      </c>
      <c r="AF409" s="37">
        <f t="shared" si="216"/>
        <v>0</v>
      </c>
      <c r="AG409" s="37">
        <f t="shared" si="217"/>
        <v>0</v>
      </c>
      <c r="AH409" s="36"/>
      <c r="AI409" s="21">
        <f>IF(AM409=0,K409,0)</f>
        <v>0</v>
      </c>
      <c r="AJ409" s="21">
        <f>IF(AM409=15,K409,0)</f>
        <v>0</v>
      </c>
      <c r="AK409" s="21">
        <f>IF(AM409=21,K409,0)</f>
        <v>0</v>
      </c>
      <c r="AM409" s="37">
        <v>21</v>
      </c>
      <c r="AN409" s="37">
        <f>H409*0</f>
        <v>0</v>
      </c>
      <c r="AO409" s="37">
        <f>H409*(1-0)</f>
        <v>0</v>
      </c>
      <c r="AP409" s="38" t="s">
        <v>8</v>
      </c>
      <c r="AU409" s="37">
        <f t="shared" si="218"/>
        <v>0</v>
      </c>
      <c r="AV409" s="37">
        <f>G409*AN409</f>
        <v>0</v>
      </c>
      <c r="AW409" s="37">
        <f>G409*AO409</f>
        <v>0</v>
      </c>
      <c r="AX409" s="40" t="s">
        <v>1108</v>
      </c>
      <c r="AY409" s="40" t="s">
        <v>1120</v>
      </c>
      <c r="AZ409" s="36" t="s">
        <v>1122</v>
      </c>
      <c r="BB409" s="37">
        <f t="shared" si="219"/>
        <v>0</v>
      </c>
      <c r="BC409" s="37">
        <f>H409/(100-BD409)*100</f>
        <v>0</v>
      </c>
      <c r="BD409" s="37">
        <v>0</v>
      </c>
      <c r="BE409" s="37">
        <f>409</f>
        <v>409</v>
      </c>
      <c r="BG409" s="21">
        <f>G409*AN409</f>
        <v>0</v>
      </c>
      <c r="BH409" s="21">
        <f>G409*AO409</f>
        <v>0</v>
      </c>
      <c r="BI409" s="21">
        <f t="shared" si="220"/>
        <v>0</v>
      </c>
      <c r="BJ409" s="21" t="s">
        <v>1127</v>
      </c>
      <c r="BK409" s="37" t="s">
        <v>605</v>
      </c>
    </row>
    <row r="410" spans="1:63" x14ac:dyDescent="0.25">
      <c r="A410" s="4" t="s">
        <v>298</v>
      </c>
      <c r="B410" s="14" t="s">
        <v>612</v>
      </c>
      <c r="C410" s="117" t="s">
        <v>1008</v>
      </c>
      <c r="D410" s="118"/>
      <c r="E410" s="118"/>
      <c r="F410" s="14" t="s">
        <v>1025</v>
      </c>
      <c r="G410" s="21">
        <v>1</v>
      </c>
      <c r="H410" s="21">
        <v>0</v>
      </c>
      <c r="I410" s="21">
        <f>G410*AN410</f>
        <v>0</v>
      </c>
      <c r="J410" s="21">
        <f>G410*AO410</f>
        <v>0</v>
      </c>
      <c r="K410" s="21">
        <f t="shared" si="209"/>
        <v>0</v>
      </c>
      <c r="L410" s="5"/>
      <c r="Y410" s="37">
        <f t="shared" si="210"/>
        <v>0</v>
      </c>
      <c r="AA410" s="37">
        <f t="shared" si="211"/>
        <v>0</v>
      </c>
      <c r="AB410" s="37">
        <f t="shared" si="212"/>
        <v>0</v>
      </c>
      <c r="AC410" s="37">
        <f t="shared" si="213"/>
        <v>0</v>
      </c>
      <c r="AD410" s="37">
        <f t="shared" si="214"/>
        <v>0</v>
      </c>
      <c r="AE410" s="37">
        <f t="shared" si="215"/>
        <v>0</v>
      </c>
      <c r="AF410" s="37">
        <f t="shared" si="216"/>
        <v>0</v>
      </c>
      <c r="AG410" s="37">
        <f t="shared" si="217"/>
        <v>0</v>
      </c>
      <c r="AH410" s="36"/>
      <c r="AI410" s="21">
        <f>IF(AM410=0,K410,0)</f>
        <v>0</v>
      </c>
      <c r="AJ410" s="21">
        <f>IF(AM410=15,K410,0)</f>
        <v>0</v>
      </c>
      <c r="AK410" s="21">
        <f>IF(AM410=21,K410,0)</f>
        <v>0</v>
      </c>
      <c r="AM410" s="37">
        <v>21</v>
      </c>
      <c r="AN410" s="37">
        <f>H410*0</f>
        <v>0</v>
      </c>
      <c r="AO410" s="37">
        <f>H410*(1-0)</f>
        <v>0</v>
      </c>
      <c r="AP410" s="38" t="s">
        <v>8</v>
      </c>
      <c r="AU410" s="37">
        <f t="shared" si="218"/>
        <v>0</v>
      </c>
      <c r="AV410" s="37">
        <f>G410*AN410</f>
        <v>0</v>
      </c>
      <c r="AW410" s="37">
        <f>G410*AO410</f>
        <v>0</v>
      </c>
      <c r="AX410" s="40" t="s">
        <v>1108</v>
      </c>
      <c r="AY410" s="40" t="s">
        <v>1120</v>
      </c>
      <c r="AZ410" s="36" t="s">
        <v>1122</v>
      </c>
      <c r="BB410" s="37">
        <f t="shared" si="219"/>
        <v>0</v>
      </c>
      <c r="BC410" s="37">
        <f>H410/(100-BD410)*100</f>
        <v>0</v>
      </c>
      <c r="BD410" s="37">
        <v>0</v>
      </c>
      <c r="BE410" s="37">
        <f>410</f>
        <v>410</v>
      </c>
      <c r="BG410" s="21">
        <f>G410*AN410</f>
        <v>0</v>
      </c>
      <c r="BH410" s="21">
        <f>G410*AO410</f>
        <v>0</v>
      </c>
      <c r="BI410" s="21">
        <f t="shared" si="220"/>
        <v>0</v>
      </c>
      <c r="BJ410" s="21" t="s">
        <v>1127</v>
      </c>
      <c r="BK410" s="37" t="s">
        <v>605</v>
      </c>
    </row>
    <row r="411" spans="1:63" x14ac:dyDescent="0.25">
      <c r="A411" s="6"/>
      <c r="B411" s="15" t="s">
        <v>613</v>
      </c>
      <c r="C411" s="121" t="s">
        <v>1009</v>
      </c>
      <c r="D411" s="122"/>
      <c r="E411" s="122"/>
      <c r="F411" s="19" t="s">
        <v>6</v>
      </c>
      <c r="G411" s="19" t="s">
        <v>6</v>
      </c>
      <c r="H411" s="19" t="s">
        <v>6</v>
      </c>
      <c r="I411" s="43">
        <f>SUM(I412:I413)</f>
        <v>0</v>
      </c>
      <c r="J411" s="43">
        <f>SUM(J412:J413)</f>
        <v>0</v>
      </c>
      <c r="K411" s="43">
        <f>SUM(K412:K413)</f>
        <v>0</v>
      </c>
      <c r="L411" s="5"/>
      <c r="AH411" s="36"/>
      <c r="AR411" s="43">
        <f>SUM(AI412:AI413)</f>
        <v>0</v>
      </c>
      <c r="AS411" s="43">
        <f>SUM(AJ412:AJ413)</f>
        <v>0</v>
      </c>
      <c r="AT411" s="43">
        <f>SUM(AK412:AK413)</f>
        <v>0</v>
      </c>
    </row>
    <row r="412" spans="1:63" x14ac:dyDescent="0.25">
      <c r="A412" s="4" t="s">
        <v>299</v>
      </c>
      <c r="B412" s="14" t="s">
        <v>614</v>
      </c>
      <c r="C412" s="117" t="s">
        <v>1010</v>
      </c>
      <c r="D412" s="118"/>
      <c r="E412" s="118"/>
      <c r="F412" s="14" t="s">
        <v>1022</v>
      </c>
      <c r="G412" s="21">
        <v>6</v>
      </c>
      <c r="H412" s="21">
        <v>0</v>
      </c>
      <c r="I412" s="21">
        <f>G412*AN412</f>
        <v>0</v>
      </c>
      <c r="J412" s="21">
        <f>G412*AO412</f>
        <v>0</v>
      </c>
      <c r="K412" s="21">
        <f>G412*H412</f>
        <v>0</v>
      </c>
      <c r="L412" s="5"/>
      <c r="Y412" s="37">
        <f>IF(AP412="5",BI412,0)</f>
        <v>0</v>
      </c>
      <c r="AA412" s="37">
        <f>IF(AP412="1",BG412,0)</f>
        <v>0</v>
      </c>
      <c r="AB412" s="37">
        <f>IF(AP412="1",BH412,0)</f>
        <v>0</v>
      </c>
      <c r="AC412" s="37">
        <f>IF(AP412="7",BG412,0)</f>
        <v>0</v>
      </c>
      <c r="AD412" s="37">
        <f>IF(AP412="7",BH412,0)</f>
        <v>0</v>
      </c>
      <c r="AE412" s="37">
        <f>IF(AP412="2",BG412,0)</f>
        <v>0</v>
      </c>
      <c r="AF412" s="37">
        <f>IF(AP412="2",BH412,0)</f>
        <v>0</v>
      </c>
      <c r="AG412" s="37">
        <f>IF(AP412="0",BI412,0)</f>
        <v>0</v>
      </c>
      <c r="AH412" s="36"/>
      <c r="AI412" s="21">
        <f>IF(AM412=0,K412,0)</f>
        <v>0</v>
      </c>
      <c r="AJ412" s="21">
        <f>IF(AM412=15,K412,0)</f>
        <v>0</v>
      </c>
      <c r="AK412" s="21">
        <f>IF(AM412=21,K412,0)</f>
        <v>0</v>
      </c>
      <c r="AM412" s="37">
        <v>21</v>
      </c>
      <c r="AN412" s="37">
        <f>H412*0</f>
        <v>0</v>
      </c>
      <c r="AO412" s="37">
        <f>H412*(1-0)</f>
        <v>0</v>
      </c>
      <c r="AP412" s="38" t="s">
        <v>11</v>
      </c>
      <c r="AU412" s="37">
        <f>AV412+AW412</f>
        <v>0</v>
      </c>
      <c r="AV412" s="37">
        <f>G412*AN412</f>
        <v>0</v>
      </c>
      <c r="AW412" s="37">
        <f>G412*AO412</f>
        <v>0</v>
      </c>
      <c r="AX412" s="40" t="s">
        <v>1109</v>
      </c>
      <c r="AY412" s="40" t="s">
        <v>1120</v>
      </c>
      <c r="AZ412" s="36" t="s">
        <v>1122</v>
      </c>
      <c r="BB412" s="37">
        <f>AV412+AW412</f>
        <v>0</v>
      </c>
      <c r="BC412" s="37">
        <f>H412/(100-BD412)*100</f>
        <v>0</v>
      </c>
      <c r="BD412" s="37">
        <v>0</v>
      </c>
      <c r="BE412" s="37">
        <f>412</f>
        <v>412</v>
      </c>
      <c r="BG412" s="21">
        <f>G412*AN412</f>
        <v>0</v>
      </c>
      <c r="BH412" s="21">
        <f>G412*AO412</f>
        <v>0</v>
      </c>
      <c r="BI412" s="21">
        <f>G412*H412</f>
        <v>0</v>
      </c>
      <c r="BJ412" s="21" t="s">
        <v>1127</v>
      </c>
      <c r="BK412" s="37" t="s">
        <v>613</v>
      </c>
    </row>
    <row r="413" spans="1:63" x14ac:dyDescent="0.25">
      <c r="A413" s="8" t="s">
        <v>300</v>
      </c>
      <c r="B413" s="17" t="s">
        <v>615</v>
      </c>
      <c r="C413" s="125" t="s">
        <v>1011</v>
      </c>
      <c r="D413" s="126"/>
      <c r="E413" s="126"/>
      <c r="F413" s="17" t="s">
        <v>1022</v>
      </c>
      <c r="G413" s="24">
        <v>6</v>
      </c>
      <c r="H413" s="24">
        <v>0</v>
      </c>
      <c r="I413" s="24">
        <f>G413*AN413</f>
        <v>0</v>
      </c>
      <c r="J413" s="24">
        <f>G413*AO413</f>
        <v>0</v>
      </c>
      <c r="K413" s="24">
        <f>G413*H413</f>
        <v>0</v>
      </c>
      <c r="L413" s="5"/>
      <c r="Y413" s="37">
        <f>IF(AP413="5",BI413,0)</f>
        <v>0</v>
      </c>
      <c r="AA413" s="37">
        <f>IF(AP413="1",BG413,0)</f>
        <v>0</v>
      </c>
      <c r="AB413" s="37">
        <f>IF(AP413="1",BH413,0)</f>
        <v>0</v>
      </c>
      <c r="AC413" s="37">
        <f>IF(AP413="7",BG413,0)</f>
        <v>0</v>
      </c>
      <c r="AD413" s="37">
        <f>IF(AP413="7",BH413,0)</f>
        <v>0</v>
      </c>
      <c r="AE413" s="37">
        <f>IF(AP413="2",BG413,0)</f>
        <v>0</v>
      </c>
      <c r="AF413" s="37">
        <f>IF(AP413="2",BH413,0)</f>
        <v>0</v>
      </c>
      <c r="AG413" s="37">
        <f>IF(AP413="0",BI413,0)</f>
        <v>0</v>
      </c>
      <c r="AH413" s="36"/>
      <c r="AI413" s="21">
        <f>IF(AM413=0,K413,0)</f>
        <v>0</v>
      </c>
      <c r="AJ413" s="21">
        <f>IF(AM413=15,K413,0)</f>
        <v>0</v>
      </c>
      <c r="AK413" s="21">
        <f>IF(AM413=21,K413,0)</f>
        <v>0</v>
      </c>
      <c r="AM413" s="37">
        <v>21</v>
      </c>
      <c r="AN413" s="37">
        <f>H413*0</f>
        <v>0</v>
      </c>
      <c r="AO413" s="37">
        <f>H413*(1-0)</f>
        <v>0</v>
      </c>
      <c r="AP413" s="38" t="s">
        <v>11</v>
      </c>
      <c r="AU413" s="37">
        <f>AV413+AW413</f>
        <v>0</v>
      </c>
      <c r="AV413" s="37">
        <f>G413*AN413</f>
        <v>0</v>
      </c>
      <c r="AW413" s="37">
        <f>G413*AO413</f>
        <v>0</v>
      </c>
      <c r="AX413" s="40" t="s">
        <v>1109</v>
      </c>
      <c r="AY413" s="40" t="s">
        <v>1120</v>
      </c>
      <c r="AZ413" s="36" t="s">
        <v>1122</v>
      </c>
      <c r="BB413" s="37">
        <f>AV413+AW413</f>
        <v>0</v>
      </c>
      <c r="BC413" s="37">
        <f>H413/(100-BD413)*100</f>
        <v>0</v>
      </c>
      <c r="BD413" s="37">
        <v>0</v>
      </c>
      <c r="BE413" s="37">
        <f>413</f>
        <v>413</v>
      </c>
      <c r="BG413" s="21">
        <f>G413*AN413</f>
        <v>0</v>
      </c>
      <c r="BH413" s="21">
        <f>G413*AO413</f>
        <v>0</v>
      </c>
      <c r="BI413" s="21">
        <f>G413*H413</f>
        <v>0</v>
      </c>
      <c r="BJ413" s="21" t="s">
        <v>1127</v>
      </c>
      <c r="BK413" s="37" t="s">
        <v>613</v>
      </c>
    </row>
    <row r="414" spans="1:63" x14ac:dyDescent="0.25">
      <c r="A414" s="9"/>
      <c r="B414" s="9"/>
      <c r="C414" s="9"/>
      <c r="D414" s="9"/>
      <c r="E414" s="9"/>
      <c r="F414" s="9"/>
      <c r="G414" s="9"/>
      <c r="H414" s="9"/>
      <c r="I414" s="127" t="s">
        <v>1043</v>
      </c>
      <c r="J414" s="128"/>
      <c r="K414" s="44">
        <f>ROUND(K12+K16+K18+K23+K26+K31+K42+K49+K63+K68+K75+K77+K80+K88+K95+K104+K113+K129+K158+K180+K189+K218+K221+K225+K227+K252+K263+K270+K277+K281+K284+K287+K291+K297+K299+K301+K303+K305+K307+K309+K311+K313+K315+K317+K319+K321+K323+K325+K327+K331+K338+K376+K392+K403+K411,0)</f>
        <v>0</v>
      </c>
    </row>
    <row r="415" spans="1:63" ht="11.25" customHeight="1" x14ac:dyDescent="0.25">
      <c r="A415" s="10" t="s">
        <v>301</v>
      </c>
    </row>
    <row r="416" spans="1:63" x14ac:dyDescent="0.25">
      <c r="A416" s="101"/>
      <c r="B416" s="93"/>
      <c r="C416" s="93"/>
      <c r="D416" s="93"/>
      <c r="E416" s="93"/>
      <c r="F416" s="93"/>
      <c r="G416" s="93"/>
      <c r="H416" s="93"/>
      <c r="I416" s="93"/>
      <c r="J416" s="93"/>
      <c r="K416" s="93"/>
    </row>
  </sheetData>
  <mergeCells count="432">
    <mergeCell ref="C411:E411"/>
    <mergeCell ref="C412:E412"/>
    <mergeCell ref="C413:E413"/>
    <mergeCell ref="I414:J414"/>
    <mergeCell ref="A416:K416"/>
    <mergeCell ref="C405:E405"/>
    <mergeCell ref="C406:E406"/>
    <mergeCell ref="C407:E407"/>
    <mergeCell ref="C408:E408"/>
    <mergeCell ref="C409:E409"/>
    <mergeCell ref="C410:E410"/>
    <mergeCell ref="C399:E399"/>
    <mergeCell ref="C400:E400"/>
    <mergeCell ref="C401:E401"/>
    <mergeCell ref="C402:E402"/>
    <mergeCell ref="C403:E403"/>
    <mergeCell ref="C404:E404"/>
    <mergeCell ref="C393:E393"/>
    <mergeCell ref="C394:E394"/>
    <mergeCell ref="C395:E395"/>
    <mergeCell ref="C396:E396"/>
    <mergeCell ref="C397:E397"/>
    <mergeCell ref="C398:E398"/>
    <mergeCell ref="C387:E387"/>
    <mergeCell ref="C388:E388"/>
    <mergeCell ref="C389:E389"/>
    <mergeCell ref="C390:E390"/>
    <mergeCell ref="C391:E391"/>
    <mergeCell ref="C392:E392"/>
    <mergeCell ref="C381:E381"/>
    <mergeCell ref="C382:E382"/>
    <mergeCell ref="C383:E383"/>
    <mergeCell ref="C384:E384"/>
    <mergeCell ref="C385:E385"/>
    <mergeCell ref="C386:E386"/>
    <mergeCell ref="C375:E375"/>
    <mergeCell ref="C376:E376"/>
    <mergeCell ref="C377:E377"/>
    <mergeCell ref="C378:E378"/>
    <mergeCell ref="C379:E379"/>
    <mergeCell ref="C380:E380"/>
    <mergeCell ref="C369:E369"/>
    <mergeCell ref="C370:E370"/>
    <mergeCell ref="C371:E371"/>
    <mergeCell ref="C372:E372"/>
    <mergeCell ref="C373:E373"/>
    <mergeCell ref="C374:E374"/>
    <mergeCell ref="C363:E363"/>
    <mergeCell ref="C364:E364"/>
    <mergeCell ref="C365:E365"/>
    <mergeCell ref="C366:E366"/>
    <mergeCell ref="C367:E367"/>
    <mergeCell ref="C368:E368"/>
    <mergeCell ref="C357:E357"/>
    <mergeCell ref="C358:E358"/>
    <mergeCell ref="C359:E359"/>
    <mergeCell ref="C360:E360"/>
    <mergeCell ref="C361:E361"/>
    <mergeCell ref="C362:E362"/>
    <mergeCell ref="C351:E351"/>
    <mergeCell ref="C352:E352"/>
    <mergeCell ref="C353:E353"/>
    <mergeCell ref="C354:E354"/>
    <mergeCell ref="C355:E355"/>
    <mergeCell ref="C356:E356"/>
    <mergeCell ref="C345:E345"/>
    <mergeCell ref="C346:E346"/>
    <mergeCell ref="C347:E347"/>
    <mergeCell ref="C348:E348"/>
    <mergeCell ref="C349:E349"/>
    <mergeCell ref="C350:E350"/>
    <mergeCell ref="C339:E339"/>
    <mergeCell ref="C340:E340"/>
    <mergeCell ref="C341:E341"/>
    <mergeCell ref="C342:E342"/>
    <mergeCell ref="C343:E343"/>
    <mergeCell ref="C344:E344"/>
    <mergeCell ref="C333:E333"/>
    <mergeCell ref="C334:E334"/>
    <mergeCell ref="C335:E335"/>
    <mergeCell ref="C336:E336"/>
    <mergeCell ref="C337:E337"/>
    <mergeCell ref="C338:E338"/>
    <mergeCell ref="C327:E327"/>
    <mergeCell ref="C328:E328"/>
    <mergeCell ref="C329:E329"/>
    <mergeCell ref="C330:E330"/>
    <mergeCell ref="C331:E331"/>
    <mergeCell ref="C332:E332"/>
    <mergeCell ref="C321:E321"/>
    <mergeCell ref="C322:E322"/>
    <mergeCell ref="C323:E323"/>
    <mergeCell ref="C324:E324"/>
    <mergeCell ref="C325:E325"/>
    <mergeCell ref="C326:E326"/>
    <mergeCell ref="C315:E315"/>
    <mergeCell ref="C316:E316"/>
    <mergeCell ref="C317:E317"/>
    <mergeCell ref="C318:E318"/>
    <mergeCell ref="C319:E319"/>
    <mergeCell ref="C320:E320"/>
    <mergeCell ref="C309:E309"/>
    <mergeCell ref="C310:E310"/>
    <mergeCell ref="C311:E311"/>
    <mergeCell ref="C312:E312"/>
    <mergeCell ref="C313:E313"/>
    <mergeCell ref="C314:E314"/>
    <mergeCell ref="C303:E303"/>
    <mergeCell ref="C304:E304"/>
    <mergeCell ref="C305:E305"/>
    <mergeCell ref="C306:E306"/>
    <mergeCell ref="C307:E307"/>
    <mergeCell ref="C308:E308"/>
    <mergeCell ref="C297:E297"/>
    <mergeCell ref="C298:E298"/>
    <mergeCell ref="C299:E299"/>
    <mergeCell ref="C300:E300"/>
    <mergeCell ref="C301:E301"/>
    <mergeCell ref="C302:E302"/>
    <mergeCell ref="C291:E291"/>
    <mergeCell ref="C292:E292"/>
    <mergeCell ref="C293:E293"/>
    <mergeCell ref="C294:E294"/>
    <mergeCell ref="C295:E295"/>
    <mergeCell ref="C296:E296"/>
    <mergeCell ref="C285:E285"/>
    <mergeCell ref="C286:E286"/>
    <mergeCell ref="C287:E287"/>
    <mergeCell ref="C288:E288"/>
    <mergeCell ref="C289:E289"/>
    <mergeCell ref="C290:E290"/>
    <mergeCell ref="C279:E279"/>
    <mergeCell ref="C280:E280"/>
    <mergeCell ref="C281:E281"/>
    <mergeCell ref="C282:E282"/>
    <mergeCell ref="C283:E283"/>
    <mergeCell ref="C284:E284"/>
    <mergeCell ref="C273:E273"/>
    <mergeCell ref="C274:E274"/>
    <mergeCell ref="C275:E275"/>
    <mergeCell ref="C276:E276"/>
    <mergeCell ref="C277:E277"/>
    <mergeCell ref="C278:E278"/>
    <mergeCell ref="C267:E267"/>
    <mergeCell ref="C268:E268"/>
    <mergeCell ref="C269:E269"/>
    <mergeCell ref="C270:E270"/>
    <mergeCell ref="C271:E271"/>
    <mergeCell ref="C272:E272"/>
    <mergeCell ref="C261:E261"/>
    <mergeCell ref="C262:E262"/>
    <mergeCell ref="C263:E263"/>
    <mergeCell ref="C264:E264"/>
    <mergeCell ref="C265:E265"/>
    <mergeCell ref="C266:E266"/>
    <mergeCell ref="C255:E255"/>
    <mergeCell ref="C256:E256"/>
    <mergeCell ref="C257:E257"/>
    <mergeCell ref="C258:E258"/>
    <mergeCell ref="C259:E259"/>
    <mergeCell ref="C260:E260"/>
    <mergeCell ref="C249:E249"/>
    <mergeCell ref="C250:E250"/>
    <mergeCell ref="C251:E251"/>
    <mergeCell ref="C252:E252"/>
    <mergeCell ref="C253:E253"/>
    <mergeCell ref="C254:E254"/>
    <mergeCell ref="C243:E243"/>
    <mergeCell ref="C244:E244"/>
    <mergeCell ref="C245:E245"/>
    <mergeCell ref="C246:E246"/>
    <mergeCell ref="C247:E247"/>
    <mergeCell ref="C248:E248"/>
    <mergeCell ref="C237:E237"/>
    <mergeCell ref="C238:E238"/>
    <mergeCell ref="C239:E239"/>
    <mergeCell ref="C240:E240"/>
    <mergeCell ref="C241:E241"/>
    <mergeCell ref="C242:E242"/>
    <mergeCell ref="C231:E231"/>
    <mergeCell ref="C232:E232"/>
    <mergeCell ref="C233:E233"/>
    <mergeCell ref="C234:E234"/>
    <mergeCell ref="C235:E235"/>
    <mergeCell ref="C236:E236"/>
    <mergeCell ref="C225:E225"/>
    <mergeCell ref="C226:E226"/>
    <mergeCell ref="C227:E227"/>
    <mergeCell ref="C228:E228"/>
    <mergeCell ref="C229:E229"/>
    <mergeCell ref="C230:E230"/>
    <mergeCell ref="C219:E219"/>
    <mergeCell ref="C220:E220"/>
    <mergeCell ref="C221:E221"/>
    <mergeCell ref="C222:E222"/>
    <mergeCell ref="C223:E223"/>
    <mergeCell ref="C224:E224"/>
    <mergeCell ref="C213:E213"/>
    <mergeCell ref="C214:E214"/>
    <mergeCell ref="C215:E215"/>
    <mergeCell ref="C216:E216"/>
    <mergeCell ref="C217:E217"/>
    <mergeCell ref="C218:E218"/>
    <mergeCell ref="C207:E207"/>
    <mergeCell ref="C208:E208"/>
    <mergeCell ref="C209:E209"/>
    <mergeCell ref="C210:E210"/>
    <mergeCell ref="C211:E211"/>
    <mergeCell ref="C212:E212"/>
    <mergeCell ref="C201:E201"/>
    <mergeCell ref="C202:E202"/>
    <mergeCell ref="C203:E203"/>
    <mergeCell ref="C204:E204"/>
    <mergeCell ref="C205:E205"/>
    <mergeCell ref="C206:E206"/>
    <mergeCell ref="C195:E195"/>
    <mergeCell ref="C196:E196"/>
    <mergeCell ref="C197:E197"/>
    <mergeCell ref="C198:E198"/>
    <mergeCell ref="C199:E199"/>
    <mergeCell ref="C200:E200"/>
    <mergeCell ref="C189:E189"/>
    <mergeCell ref="C190:E190"/>
    <mergeCell ref="C191:E191"/>
    <mergeCell ref="C192:E192"/>
    <mergeCell ref="C193:E193"/>
    <mergeCell ref="C194:E194"/>
    <mergeCell ref="C183:E183"/>
    <mergeCell ref="C184:E184"/>
    <mergeCell ref="C185:E185"/>
    <mergeCell ref="C186:E186"/>
    <mergeCell ref="C187:E187"/>
    <mergeCell ref="C188:E188"/>
    <mergeCell ref="C177:E177"/>
    <mergeCell ref="C178:E178"/>
    <mergeCell ref="C179:E179"/>
    <mergeCell ref="C180:E180"/>
    <mergeCell ref="C181:E181"/>
    <mergeCell ref="C182:E182"/>
    <mergeCell ref="C171:E171"/>
    <mergeCell ref="C172:E172"/>
    <mergeCell ref="C173:E173"/>
    <mergeCell ref="C174:E174"/>
    <mergeCell ref="C175:E175"/>
    <mergeCell ref="C176:E176"/>
    <mergeCell ref="C165:E165"/>
    <mergeCell ref="C166:E166"/>
    <mergeCell ref="C167:E167"/>
    <mergeCell ref="C168:E168"/>
    <mergeCell ref="C169:E169"/>
    <mergeCell ref="C170:E170"/>
    <mergeCell ref="C159:E159"/>
    <mergeCell ref="C160:E160"/>
    <mergeCell ref="C161:E161"/>
    <mergeCell ref="C162:E162"/>
    <mergeCell ref="C163:E163"/>
    <mergeCell ref="C164:E164"/>
    <mergeCell ref="C153:E153"/>
    <mergeCell ref="C154:E154"/>
    <mergeCell ref="C155:E155"/>
    <mergeCell ref="C156:E156"/>
    <mergeCell ref="C157:E157"/>
    <mergeCell ref="C158:E158"/>
    <mergeCell ref="C147:E147"/>
    <mergeCell ref="C148:E148"/>
    <mergeCell ref="C149:E149"/>
    <mergeCell ref="C150:E150"/>
    <mergeCell ref="C151:E151"/>
    <mergeCell ref="C152:E152"/>
    <mergeCell ref="C141:E141"/>
    <mergeCell ref="C142:E142"/>
    <mergeCell ref="C143:E143"/>
    <mergeCell ref="C144:E144"/>
    <mergeCell ref="C145:E145"/>
    <mergeCell ref="C146:E146"/>
    <mergeCell ref="C135:E135"/>
    <mergeCell ref="C136:E136"/>
    <mergeCell ref="C137:E137"/>
    <mergeCell ref="C138:E138"/>
    <mergeCell ref="C139:E139"/>
    <mergeCell ref="C140:E140"/>
    <mergeCell ref="C129:E129"/>
    <mergeCell ref="C130:E130"/>
    <mergeCell ref="C131:E131"/>
    <mergeCell ref="C132:E132"/>
    <mergeCell ref="C133:E133"/>
    <mergeCell ref="C134:E134"/>
    <mergeCell ref="C123:E123"/>
    <mergeCell ref="C124:E124"/>
    <mergeCell ref="C125:E125"/>
    <mergeCell ref="C126:E126"/>
    <mergeCell ref="C127:E127"/>
    <mergeCell ref="C128:E128"/>
    <mergeCell ref="C117:E117"/>
    <mergeCell ref="C118:E118"/>
    <mergeCell ref="C119:E119"/>
    <mergeCell ref="C120:E120"/>
    <mergeCell ref="C121:E121"/>
    <mergeCell ref="C122:E122"/>
    <mergeCell ref="C111:E111"/>
    <mergeCell ref="C112:E112"/>
    <mergeCell ref="C113:E113"/>
    <mergeCell ref="C114:E114"/>
    <mergeCell ref="C115:E115"/>
    <mergeCell ref="C116:E116"/>
    <mergeCell ref="C105:E105"/>
    <mergeCell ref="C106:E106"/>
    <mergeCell ref="C107:E107"/>
    <mergeCell ref="C108:E108"/>
    <mergeCell ref="C109:E109"/>
    <mergeCell ref="C110:E110"/>
    <mergeCell ref="C99:E99"/>
    <mergeCell ref="C100:E100"/>
    <mergeCell ref="C101:E101"/>
    <mergeCell ref="C102:E102"/>
    <mergeCell ref="C103:E103"/>
    <mergeCell ref="C104:E104"/>
    <mergeCell ref="C93:E93"/>
    <mergeCell ref="C94:E94"/>
    <mergeCell ref="C95:E95"/>
    <mergeCell ref="C96:E96"/>
    <mergeCell ref="C97:E97"/>
    <mergeCell ref="C98:E98"/>
    <mergeCell ref="C87:E87"/>
    <mergeCell ref="C88:E88"/>
    <mergeCell ref="C89:E89"/>
    <mergeCell ref="C90:E90"/>
    <mergeCell ref="C91:E91"/>
    <mergeCell ref="C92:E92"/>
    <mergeCell ref="C81:E81"/>
    <mergeCell ref="C82:E82"/>
    <mergeCell ref="C83:E83"/>
    <mergeCell ref="C84:E84"/>
    <mergeCell ref="C85:E85"/>
    <mergeCell ref="C86:E86"/>
    <mergeCell ref="C75:E75"/>
    <mergeCell ref="C76:E76"/>
    <mergeCell ref="C77:E77"/>
    <mergeCell ref="C78:E78"/>
    <mergeCell ref="C79:E79"/>
    <mergeCell ref="C80:E80"/>
    <mergeCell ref="C69:E69"/>
    <mergeCell ref="C70:E70"/>
    <mergeCell ref="C71:E71"/>
    <mergeCell ref="C72:E72"/>
    <mergeCell ref="C73:E73"/>
    <mergeCell ref="C74:E74"/>
    <mergeCell ref="C63:E63"/>
    <mergeCell ref="C64:E64"/>
    <mergeCell ref="C65:E65"/>
    <mergeCell ref="C66:E66"/>
    <mergeCell ref="C67:E67"/>
    <mergeCell ref="C68:E68"/>
    <mergeCell ref="C57:E57"/>
    <mergeCell ref="C58:E58"/>
    <mergeCell ref="C59:E59"/>
    <mergeCell ref="C60:E60"/>
    <mergeCell ref="C61:E61"/>
    <mergeCell ref="C62:E62"/>
    <mergeCell ref="C51:E51"/>
    <mergeCell ref="C52:E52"/>
    <mergeCell ref="C53:E53"/>
    <mergeCell ref="C54:E54"/>
    <mergeCell ref="C55:E55"/>
    <mergeCell ref="C56:E56"/>
    <mergeCell ref="C45:E45"/>
    <mergeCell ref="C46:E46"/>
    <mergeCell ref="C47:E47"/>
    <mergeCell ref="C48:E48"/>
    <mergeCell ref="C49:E49"/>
    <mergeCell ref="C50:E50"/>
    <mergeCell ref="C39:E39"/>
    <mergeCell ref="C40:E40"/>
    <mergeCell ref="C41:E41"/>
    <mergeCell ref="C42:E42"/>
    <mergeCell ref="C43:E43"/>
    <mergeCell ref="C44:E44"/>
    <mergeCell ref="C33:E33"/>
    <mergeCell ref="C34:E34"/>
    <mergeCell ref="C35:E35"/>
    <mergeCell ref="C36:E36"/>
    <mergeCell ref="C37:E37"/>
    <mergeCell ref="C38:E38"/>
    <mergeCell ref="C27:E27"/>
    <mergeCell ref="C28:E28"/>
    <mergeCell ref="C29:E29"/>
    <mergeCell ref="C30:E30"/>
    <mergeCell ref="C31:E31"/>
    <mergeCell ref="C32:E32"/>
    <mergeCell ref="C21:E21"/>
    <mergeCell ref="C22:E22"/>
    <mergeCell ref="C23:E23"/>
    <mergeCell ref="C24:E24"/>
    <mergeCell ref="C25:E25"/>
    <mergeCell ref="C26:E26"/>
    <mergeCell ref="C15:E15"/>
    <mergeCell ref="C16:E16"/>
    <mergeCell ref="C17:E17"/>
    <mergeCell ref="C18:E18"/>
    <mergeCell ref="C19:E19"/>
    <mergeCell ref="C20:E20"/>
    <mergeCell ref="C10:E10"/>
    <mergeCell ref="I10:K10"/>
    <mergeCell ref="C11:E11"/>
    <mergeCell ref="C12:E12"/>
    <mergeCell ref="C13:E13"/>
    <mergeCell ref="C14:E14"/>
    <mergeCell ref="A8:B9"/>
    <mergeCell ref="C8:C9"/>
    <mergeCell ref="D8:E9"/>
    <mergeCell ref="F8:G9"/>
    <mergeCell ref="H8:H9"/>
    <mergeCell ref="I8:K9"/>
    <mergeCell ref="A6:B7"/>
    <mergeCell ref="C6:C7"/>
    <mergeCell ref="D6:E7"/>
    <mergeCell ref="F6:G7"/>
    <mergeCell ref="H6:H7"/>
    <mergeCell ref="I6:K7"/>
    <mergeCell ref="A4:B5"/>
    <mergeCell ref="C4:C5"/>
    <mergeCell ref="D4:E5"/>
    <mergeCell ref="F4:G5"/>
    <mergeCell ref="H4:H5"/>
    <mergeCell ref="I4:K5"/>
    <mergeCell ref="A1:K1"/>
    <mergeCell ref="A2:B3"/>
    <mergeCell ref="C2:C3"/>
    <mergeCell ref="D2:E3"/>
    <mergeCell ref="F2:G3"/>
    <mergeCell ref="H2:H3"/>
    <mergeCell ref="I2:K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pane ySplit="10" topLeftCell="A11" activePane="bottomLeft" state="frozenSplit"/>
      <selection pane="bottomLeft" sqref="A1:F1"/>
    </sheetView>
  </sheetViews>
  <sheetFormatPr defaultColWidth="11.5546875" defaultRowHeight="13.2" x14ac:dyDescent="0.25"/>
  <cols>
    <col min="1" max="1" width="16.5546875" customWidth="1"/>
    <col min="2" max="2" width="41.77734375" customWidth="1"/>
    <col min="4" max="4" width="22.109375" customWidth="1"/>
    <col min="5" max="5" width="21" customWidth="1"/>
    <col min="6" max="6" width="20.88671875" customWidth="1"/>
    <col min="7" max="8" width="0" hidden="1" customWidth="1"/>
  </cols>
  <sheetData>
    <row r="1" spans="1:8" ht="73.05" customHeight="1" x14ac:dyDescent="0.4">
      <c r="A1" s="88" t="s">
        <v>1130</v>
      </c>
      <c r="B1" s="89"/>
      <c r="C1" s="89"/>
      <c r="D1" s="89"/>
      <c r="E1" s="89"/>
      <c r="F1" s="89"/>
    </row>
    <row r="2" spans="1:8" x14ac:dyDescent="0.25">
      <c r="A2" s="90" t="s">
        <v>1</v>
      </c>
      <c r="B2" s="94" t="str">
        <f>'Stavební rozpočet'!C2</f>
        <v>Plynová kotelna pro vytápění MŠ Doubrava</v>
      </c>
      <c r="C2" s="128"/>
      <c r="D2" s="97" t="s">
        <v>1032</v>
      </c>
      <c r="E2" s="97" t="str">
        <f>'Stavební rozpočet'!I2</f>
        <v xml:space="preserve">Obec Doubrava,Doubrava č.p. 599, 735 33 Doubrava_x000D_
</v>
      </c>
      <c r="F2" s="98"/>
      <c r="G2" s="5"/>
    </row>
    <row r="3" spans="1:8" x14ac:dyDescent="0.25">
      <c r="A3" s="92"/>
      <c r="B3" s="95"/>
      <c r="C3" s="95"/>
      <c r="D3" s="93"/>
      <c r="E3" s="93"/>
      <c r="F3" s="99"/>
      <c r="G3" s="5"/>
    </row>
    <row r="4" spans="1:8" x14ac:dyDescent="0.25">
      <c r="A4" s="100" t="s">
        <v>2</v>
      </c>
      <c r="B4" s="101" t="str">
        <f>'Stavební rozpočet'!C4</f>
        <v>Občanská vybavenost</v>
      </c>
      <c r="C4" s="93"/>
      <c r="D4" s="101" t="s">
        <v>1033</v>
      </c>
      <c r="E4" s="101" t="str">
        <f>'Stavební rozpočet'!I4</f>
        <v>Ing. Stanislav Wilczek</v>
      </c>
      <c r="F4" s="99"/>
      <c r="G4" s="5"/>
    </row>
    <row r="5" spans="1:8" x14ac:dyDescent="0.25">
      <c r="A5" s="92"/>
      <c r="B5" s="93"/>
      <c r="C5" s="93"/>
      <c r="D5" s="93"/>
      <c r="E5" s="93"/>
      <c r="F5" s="99"/>
      <c r="G5" s="5"/>
    </row>
    <row r="6" spans="1:8" x14ac:dyDescent="0.25">
      <c r="A6" s="100" t="s">
        <v>3</v>
      </c>
      <c r="B6" s="101" t="str">
        <f>'Stavební rozpočet'!C6</f>
        <v>Obec Doubrava, č.p. 496,  735 33 Doubrava</v>
      </c>
      <c r="C6" s="93"/>
      <c r="D6" s="101" t="s">
        <v>1034</v>
      </c>
      <c r="E6" s="101" t="str">
        <f>'Stavební rozpočet'!I6</f>
        <v> </v>
      </c>
      <c r="F6" s="99"/>
      <c r="G6" s="5"/>
    </row>
    <row r="7" spans="1:8" x14ac:dyDescent="0.25">
      <c r="A7" s="92"/>
      <c r="B7" s="93"/>
      <c r="C7" s="93"/>
      <c r="D7" s="93"/>
      <c r="E7" s="93"/>
      <c r="F7" s="99"/>
      <c r="G7" s="5"/>
    </row>
    <row r="8" spans="1:8" x14ac:dyDescent="0.25">
      <c r="A8" s="100" t="s">
        <v>1035</v>
      </c>
      <c r="B8" s="101" t="str">
        <f>'Stavební rozpočet'!I8</f>
        <v>Ing. Stanislav Wilczek</v>
      </c>
      <c r="C8" s="93"/>
      <c r="D8" s="102" t="s">
        <v>1015</v>
      </c>
      <c r="E8" s="101" t="str">
        <f>'Stavební rozpočet'!F8</f>
        <v>19.10.2020</v>
      </c>
      <c r="F8" s="99"/>
      <c r="G8" s="5"/>
    </row>
    <row r="9" spans="1:8" x14ac:dyDescent="0.25">
      <c r="A9" s="103"/>
      <c r="B9" s="104"/>
      <c r="C9" s="104"/>
      <c r="D9" s="104"/>
      <c r="E9" s="104"/>
      <c r="F9" s="105"/>
      <c r="G9" s="5"/>
    </row>
    <row r="10" spans="1:8" x14ac:dyDescent="0.25">
      <c r="A10" s="45" t="s">
        <v>302</v>
      </c>
      <c r="B10" s="129" t="s">
        <v>619</v>
      </c>
      <c r="C10" s="130"/>
      <c r="D10" s="48" t="s">
        <v>1131</v>
      </c>
      <c r="E10" s="48" t="s">
        <v>1132</v>
      </c>
      <c r="F10" s="48" t="s">
        <v>1133</v>
      </c>
      <c r="G10" s="5"/>
    </row>
    <row r="11" spans="1:8" x14ac:dyDescent="0.25">
      <c r="A11" s="46" t="s">
        <v>17</v>
      </c>
      <c r="B11" s="131" t="s">
        <v>621</v>
      </c>
      <c r="C11" s="132"/>
      <c r="D11" s="50">
        <f>'Stavební rozpočet'!I12</f>
        <v>0</v>
      </c>
      <c r="E11" s="50">
        <f>'Stavební rozpočet'!J12</f>
        <v>0</v>
      </c>
      <c r="F11" s="50">
        <f>'Stavební rozpočet'!K12</f>
        <v>0</v>
      </c>
      <c r="G11" s="37" t="s">
        <v>1134</v>
      </c>
      <c r="H11" s="37">
        <f t="shared" ref="H11:H42" si="0">IF(G11="F",0,F11)</f>
        <v>0</v>
      </c>
    </row>
    <row r="12" spans="1:8" x14ac:dyDescent="0.25">
      <c r="A12" s="47" t="s">
        <v>305</v>
      </c>
      <c r="B12" s="102" t="s">
        <v>625</v>
      </c>
      <c r="C12" s="93"/>
      <c r="D12" s="37">
        <f>'Stavební rozpočet'!I16</f>
        <v>0</v>
      </c>
      <c r="E12" s="37">
        <f>'Stavební rozpočet'!J16</f>
        <v>0</v>
      </c>
      <c r="F12" s="37">
        <f>'Stavební rozpočet'!K16</f>
        <v>0</v>
      </c>
      <c r="G12" s="37" t="s">
        <v>1134</v>
      </c>
      <c r="H12" s="37">
        <f t="shared" si="0"/>
        <v>0</v>
      </c>
    </row>
    <row r="13" spans="1:8" x14ac:dyDescent="0.25">
      <c r="A13" s="47" t="s">
        <v>18</v>
      </c>
      <c r="B13" s="102" t="s">
        <v>627</v>
      </c>
      <c r="C13" s="93"/>
      <c r="D13" s="37">
        <f>'Stavební rozpočet'!I18</f>
        <v>0</v>
      </c>
      <c r="E13" s="37">
        <f>'Stavební rozpočet'!J18</f>
        <v>0</v>
      </c>
      <c r="F13" s="37">
        <f>'Stavební rozpočet'!K18</f>
        <v>0</v>
      </c>
      <c r="G13" s="37" t="s">
        <v>1134</v>
      </c>
      <c r="H13" s="37">
        <f t="shared" si="0"/>
        <v>0</v>
      </c>
    </row>
    <row r="14" spans="1:8" x14ac:dyDescent="0.25">
      <c r="A14" s="47" t="s">
        <v>19</v>
      </c>
      <c r="B14" s="102" t="s">
        <v>632</v>
      </c>
      <c r="C14" s="93"/>
      <c r="D14" s="37">
        <f>'Stavební rozpočet'!I23</f>
        <v>0</v>
      </c>
      <c r="E14" s="37">
        <f>'Stavební rozpočet'!J23</f>
        <v>0</v>
      </c>
      <c r="F14" s="37">
        <f>'Stavební rozpočet'!K23</f>
        <v>0</v>
      </c>
      <c r="G14" s="37" t="s">
        <v>1134</v>
      </c>
      <c r="H14" s="37">
        <f t="shared" si="0"/>
        <v>0</v>
      </c>
    </row>
    <row r="15" spans="1:8" x14ac:dyDescent="0.25">
      <c r="A15" s="47" t="s">
        <v>22</v>
      </c>
      <c r="B15" s="102" t="s">
        <v>635</v>
      </c>
      <c r="C15" s="93"/>
      <c r="D15" s="37">
        <f>'Stavební rozpočet'!I26</f>
        <v>0</v>
      </c>
      <c r="E15" s="37">
        <f>'Stavební rozpočet'!J26</f>
        <v>0</v>
      </c>
      <c r="F15" s="37">
        <f>'Stavební rozpočet'!K26</f>
        <v>0</v>
      </c>
      <c r="G15" s="37" t="s">
        <v>1134</v>
      </c>
      <c r="H15" s="37">
        <f t="shared" si="0"/>
        <v>0</v>
      </c>
    </row>
    <row r="16" spans="1:8" x14ac:dyDescent="0.25">
      <c r="A16" s="47" t="s">
        <v>23</v>
      </c>
      <c r="B16" s="102" t="s">
        <v>640</v>
      </c>
      <c r="C16" s="93"/>
      <c r="D16" s="37">
        <f>'Stavební rozpočet'!I31</f>
        <v>0</v>
      </c>
      <c r="E16" s="37">
        <f>'Stavební rozpočet'!J31</f>
        <v>0</v>
      </c>
      <c r="F16" s="37">
        <f>'Stavební rozpočet'!K31</f>
        <v>0</v>
      </c>
      <c r="G16" s="37" t="s">
        <v>1134</v>
      </c>
      <c r="H16" s="37">
        <f t="shared" si="0"/>
        <v>0</v>
      </c>
    </row>
    <row r="17" spans="1:8" x14ac:dyDescent="0.25">
      <c r="A17" s="47" t="s">
        <v>37</v>
      </c>
      <c r="B17" s="102" t="s">
        <v>651</v>
      </c>
      <c r="C17" s="93"/>
      <c r="D17" s="37">
        <f>'Stavební rozpočet'!I42</f>
        <v>0</v>
      </c>
      <c r="E17" s="37">
        <f>'Stavební rozpočet'!J42</f>
        <v>0</v>
      </c>
      <c r="F17" s="37">
        <f>'Stavební rozpočet'!K42</f>
        <v>0</v>
      </c>
      <c r="G17" s="37" t="s">
        <v>1134</v>
      </c>
      <c r="H17" s="37">
        <f t="shared" si="0"/>
        <v>0</v>
      </c>
    </row>
    <row r="18" spans="1:8" x14ac:dyDescent="0.25">
      <c r="A18" s="47" t="s">
        <v>39</v>
      </c>
      <c r="B18" s="102" t="s">
        <v>658</v>
      </c>
      <c r="C18" s="93"/>
      <c r="D18" s="37">
        <f>'Stavební rozpočet'!I49</f>
        <v>0</v>
      </c>
      <c r="E18" s="37">
        <f>'Stavební rozpočet'!J49</f>
        <v>0</v>
      </c>
      <c r="F18" s="37">
        <f>'Stavební rozpočet'!K49</f>
        <v>0</v>
      </c>
      <c r="G18" s="37" t="s">
        <v>1134</v>
      </c>
      <c r="H18" s="37">
        <f t="shared" si="0"/>
        <v>0</v>
      </c>
    </row>
    <row r="19" spans="1:8" x14ac:dyDescent="0.25">
      <c r="A19" s="47" t="s">
        <v>52</v>
      </c>
      <c r="B19" s="102" t="s">
        <v>672</v>
      </c>
      <c r="C19" s="93"/>
      <c r="D19" s="37">
        <f>'Stavební rozpočet'!I63</f>
        <v>0</v>
      </c>
      <c r="E19" s="37">
        <f>'Stavební rozpočet'!J63</f>
        <v>0</v>
      </c>
      <c r="F19" s="37">
        <f>'Stavební rozpočet'!K63</f>
        <v>0</v>
      </c>
      <c r="G19" s="37" t="s">
        <v>1134</v>
      </c>
      <c r="H19" s="37">
        <f t="shared" si="0"/>
        <v>0</v>
      </c>
    </row>
    <row r="20" spans="1:8" x14ac:dyDescent="0.25">
      <c r="A20" s="47" t="s">
        <v>67</v>
      </c>
      <c r="B20" s="102" t="s">
        <v>677</v>
      </c>
      <c r="C20" s="93"/>
      <c r="D20" s="37">
        <f>'Stavební rozpočet'!I68</f>
        <v>0</v>
      </c>
      <c r="E20" s="37">
        <f>'Stavební rozpočet'!J68</f>
        <v>0</v>
      </c>
      <c r="F20" s="37">
        <f>'Stavební rozpočet'!K68</f>
        <v>0</v>
      </c>
      <c r="G20" s="37" t="s">
        <v>1134</v>
      </c>
      <c r="H20" s="37">
        <f t="shared" si="0"/>
        <v>0</v>
      </c>
    </row>
    <row r="21" spans="1:8" x14ac:dyDescent="0.25">
      <c r="A21" s="47" t="s">
        <v>68</v>
      </c>
      <c r="B21" s="102" t="s">
        <v>684</v>
      </c>
      <c r="C21" s="93"/>
      <c r="D21" s="37">
        <f>'Stavební rozpočet'!I75</f>
        <v>0</v>
      </c>
      <c r="E21" s="37">
        <f>'Stavební rozpočet'!J75</f>
        <v>0</v>
      </c>
      <c r="F21" s="37">
        <f>'Stavební rozpočet'!K75</f>
        <v>0</v>
      </c>
      <c r="G21" s="37" t="s">
        <v>1134</v>
      </c>
      <c r="H21" s="37">
        <f t="shared" si="0"/>
        <v>0</v>
      </c>
    </row>
    <row r="22" spans="1:8" x14ac:dyDescent="0.25">
      <c r="A22" s="47" t="s">
        <v>69</v>
      </c>
      <c r="B22" s="102" t="s">
        <v>686</v>
      </c>
      <c r="C22" s="93"/>
      <c r="D22" s="37">
        <f>'Stavební rozpočet'!I77</f>
        <v>0</v>
      </c>
      <c r="E22" s="37">
        <f>'Stavební rozpočet'!J77</f>
        <v>0</v>
      </c>
      <c r="F22" s="37">
        <f>'Stavební rozpočet'!K77</f>
        <v>0</v>
      </c>
      <c r="G22" s="37" t="s">
        <v>1134</v>
      </c>
      <c r="H22" s="37">
        <f t="shared" si="0"/>
        <v>0</v>
      </c>
    </row>
    <row r="23" spans="1:8" x14ac:dyDescent="0.25">
      <c r="A23" s="47" t="s">
        <v>70</v>
      </c>
      <c r="B23" s="102" t="s">
        <v>689</v>
      </c>
      <c r="C23" s="93"/>
      <c r="D23" s="37">
        <f>'Stavební rozpočet'!I80</f>
        <v>0</v>
      </c>
      <c r="E23" s="37">
        <f>'Stavební rozpočet'!J80</f>
        <v>0</v>
      </c>
      <c r="F23" s="37">
        <f>'Stavební rozpočet'!K80</f>
        <v>0</v>
      </c>
      <c r="G23" s="37" t="s">
        <v>1134</v>
      </c>
      <c r="H23" s="37">
        <f t="shared" si="0"/>
        <v>0</v>
      </c>
    </row>
    <row r="24" spans="1:8" x14ac:dyDescent="0.25">
      <c r="A24" s="47" t="s">
        <v>344</v>
      </c>
      <c r="B24" s="102" t="s">
        <v>697</v>
      </c>
      <c r="C24" s="93"/>
      <c r="D24" s="37">
        <f>'Stavební rozpočet'!I88</f>
        <v>0</v>
      </c>
      <c r="E24" s="37">
        <f>'Stavební rozpočet'!J88</f>
        <v>0</v>
      </c>
      <c r="F24" s="37">
        <f>'Stavební rozpočet'!K88</f>
        <v>0</v>
      </c>
      <c r="G24" s="37" t="s">
        <v>1134</v>
      </c>
      <c r="H24" s="37">
        <f t="shared" si="0"/>
        <v>0</v>
      </c>
    </row>
    <row r="25" spans="1:8" x14ac:dyDescent="0.25">
      <c r="A25" s="47" t="s">
        <v>351</v>
      </c>
      <c r="B25" s="102" t="s">
        <v>704</v>
      </c>
      <c r="C25" s="93"/>
      <c r="D25" s="37">
        <f>'Stavební rozpočet'!I95</f>
        <v>0</v>
      </c>
      <c r="E25" s="37">
        <f>'Stavební rozpočet'!J95</f>
        <v>0</v>
      </c>
      <c r="F25" s="37">
        <f>'Stavební rozpočet'!K95</f>
        <v>0</v>
      </c>
      <c r="G25" s="37" t="s">
        <v>1134</v>
      </c>
      <c r="H25" s="37">
        <f t="shared" si="0"/>
        <v>0</v>
      </c>
    </row>
    <row r="26" spans="1:8" x14ac:dyDescent="0.25">
      <c r="A26" s="47" t="s">
        <v>360</v>
      </c>
      <c r="B26" s="102" t="s">
        <v>713</v>
      </c>
      <c r="C26" s="93"/>
      <c r="D26" s="37">
        <f>'Stavební rozpočet'!I104</f>
        <v>0</v>
      </c>
      <c r="E26" s="37">
        <f>'Stavební rozpočet'!J104</f>
        <v>0</v>
      </c>
      <c r="F26" s="37">
        <f>'Stavební rozpočet'!K104</f>
        <v>0</v>
      </c>
      <c r="G26" s="37" t="s">
        <v>1134</v>
      </c>
      <c r="H26" s="37">
        <f t="shared" si="0"/>
        <v>0</v>
      </c>
    </row>
    <row r="27" spans="1:8" x14ac:dyDescent="0.25">
      <c r="A27" s="47" t="s">
        <v>369</v>
      </c>
      <c r="B27" s="102" t="s">
        <v>722</v>
      </c>
      <c r="C27" s="93"/>
      <c r="D27" s="37">
        <f>'Stavební rozpočet'!I113</f>
        <v>0</v>
      </c>
      <c r="E27" s="37">
        <f>'Stavební rozpočet'!J113</f>
        <v>0</v>
      </c>
      <c r="F27" s="37">
        <f>'Stavební rozpočet'!K113</f>
        <v>0</v>
      </c>
      <c r="G27" s="37" t="s">
        <v>1134</v>
      </c>
      <c r="H27" s="37">
        <f t="shared" si="0"/>
        <v>0</v>
      </c>
    </row>
    <row r="28" spans="1:8" x14ac:dyDescent="0.25">
      <c r="A28" s="47" t="s">
        <v>384</v>
      </c>
      <c r="B28" s="102" t="s">
        <v>738</v>
      </c>
      <c r="C28" s="93"/>
      <c r="D28" s="37">
        <f>'Stavební rozpočet'!I129</f>
        <v>0</v>
      </c>
      <c r="E28" s="37">
        <f>'Stavební rozpočet'!J129</f>
        <v>0</v>
      </c>
      <c r="F28" s="37">
        <f>'Stavební rozpočet'!K129</f>
        <v>0</v>
      </c>
      <c r="G28" s="37" t="s">
        <v>1134</v>
      </c>
      <c r="H28" s="37">
        <f t="shared" si="0"/>
        <v>0</v>
      </c>
    </row>
    <row r="29" spans="1:8" x14ac:dyDescent="0.25">
      <c r="A29" s="47" t="s">
        <v>408</v>
      </c>
      <c r="B29" s="102" t="s">
        <v>767</v>
      </c>
      <c r="C29" s="93"/>
      <c r="D29" s="37">
        <f>'Stavební rozpočet'!I158</f>
        <v>0</v>
      </c>
      <c r="E29" s="37">
        <f>'Stavební rozpočet'!J158</f>
        <v>0</v>
      </c>
      <c r="F29" s="37">
        <f>'Stavební rozpočet'!K158</f>
        <v>0</v>
      </c>
      <c r="G29" s="37" t="s">
        <v>1134</v>
      </c>
      <c r="H29" s="37">
        <f t="shared" si="0"/>
        <v>0</v>
      </c>
    </row>
    <row r="30" spans="1:8" x14ac:dyDescent="0.25">
      <c r="A30" s="47" t="s">
        <v>425</v>
      </c>
      <c r="B30" s="102" t="s">
        <v>789</v>
      </c>
      <c r="C30" s="93"/>
      <c r="D30" s="37">
        <f>'Stavební rozpočet'!I180</f>
        <v>0</v>
      </c>
      <c r="E30" s="37">
        <f>'Stavební rozpočet'!J180</f>
        <v>0</v>
      </c>
      <c r="F30" s="37">
        <f>'Stavební rozpočet'!K180</f>
        <v>0</v>
      </c>
      <c r="G30" s="37" t="s">
        <v>1134</v>
      </c>
      <c r="H30" s="37">
        <f t="shared" si="0"/>
        <v>0</v>
      </c>
    </row>
    <row r="31" spans="1:8" x14ac:dyDescent="0.25">
      <c r="A31" s="47" t="s">
        <v>434</v>
      </c>
      <c r="B31" s="102" t="s">
        <v>798</v>
      </c>
      <c r="C31" s="93"/>
      <c r="D31" s="37">
        <f>'Stavební rozpočet'!I189</f>
        <v>0</v>
      </c>
      <c r="E31" s="37">
        <f>'Stavební rozpočet'!J189</f>
        <v>0</v>
      </c>
      <c r="F31" s="37">
        <f>'Stavební rozpočet'!K189</f>
        <v>0</v>
      </c>
      <c r="G31" s="37" t="s">
        <v>1134</v>
      </c>
      <c r="H31" s="37">
        <f t="shared" si="0"/>
        <v>0</v>
      </c>
    </row>
    <row r="32" spans="1:8" x14ac:dyDescent="0.25">
      <c r="A32" s="47" t="s">
        <v>460</v>
      </c>
      <c r="B32" s="102" t="s">
        <v>827</v>
      </c>
      <c r="C32" s="93"/>
      <c r="D32" s="37">
        <f>'Stavební rozpočet'!I218</f>
        <v>0</v>
      </c>
      <c r="E32" s="37">
        <f>'Stavební rozpočet'!J218</f>
        <v>0</v>
      </c>
      <c r="F32" s="37">
        <f>'Stavební rozpočet'!K218</f>
        <v>0</v>
      </c>
      <c r="G32" s="37" t="s">
        <v>1134</v>
      </c>
      <c r="H32" s="37">
        <f t="shared" si="0"/>
        <v>0</v>
      </c>
    </row>
    <row r="33" spans="1:8" x14ac:dyDescent="0.25">
      <c r="A33" s="47" t="s">
        <v>462</v>
      </c>
      <c r="B33" s="102" t="s">
        <v>830</v>
      </c>
      <c r="C33" s="93"/>
      <c r="D33" s="37">
        <f>'Stavební rozpočet'!I221</f>
        <v>0</v>
      </c>
      <c r="E33" s="37">
        <f>'Stavební rozpočet'!J221</f>
        <v>0</v>
      </c>
      <c r="F33" s="37">
        <f>'Stavební rozpočet'!K221</f>
        <v>0</v>
      </c>
      <c r="G33" s="37" t="s">
        <v>1134</v>
      </c>
      <c r="H33" s="37">
        <f t="shared" si="0"/>
        <v>0</v>
      </c>
    </row>
    <row r="34" spans="1:8" x14ac:dyDescent="0.25">
      <c r="A34" s="47" t="s">
        <v>465</v>
      </c>
      <c r="B34" s="102" t="s">
        <v>833</v>
      </c>
      <c r="C34" s="93"/>
      <c r="D34" s="37">
        <f>'Stavební rozpočet'!I225</f>
        <v>0</v>
      </c>
      <c r="E34" s="37">
        <f>'Stavební rozpočet'!J225</f>
        <v>0</v>
      </c>
      <c r="F34" s="37">
        <f>'Stavební rozpočet'!K225</f>
        <v>0</v>
      </c>
      <c r="G34" s="37" t="s">
        <v>1134</v>
      </c>
      <c r="H34" s="37">
        <f t="shared" si="0"/>
        <v>0</v>
      </c>
    </row>
    <row r="35" spans="1:8" x14ac:dyDescent="0.25">
      <c r="A35" s="47" t="s">
        <v>467</v>
      </c>
      <c r="B35" s="102" t="s">
        <v>835</v>
      </c>
      <c r="C35" s="93"/>
      <c r="D35" s="37">
        <f>'Stavební rozpočet'!I227</f>
        <v>0</v>
      </c>
      <c r="E35" s="37">
        <f>'Stavební rozpočet'!J227</f>
        <v>0</v>
      </c>
      <c r="F35" s="37">
        <f>'Stavební rozpočet'!K227</f>
        <v>0</v>
      </c>
      <c r="G35" s="37" t="s">
        <v>1134</v>
      </c>
      <c r="H35" s="37">
        <f t="shared" si="0"/>
        <v>0</v>
      </c>
    </row>
    <row r="36" spans="1:8" x14ac:dyDescent="0.25">
      <c r="A36" s="47" t="s">
        <v>480</v>
      </c>
      <c r="B36" s="102" t="s">
        <v>860</v>
      </c>
      <c r="C36" s="93"/>
      <c r="D36" s="37">
        <f>'Stavební rozpočet'!I252</f>
        <v>0</v>
      </c>
      <c r="E36" s="37">
        <f>'Stavební rozpočet'!J252</f>
        <v>0</v>
      </c>
      <c r="F36" s="37">
        <f>'Stavební rozpočet'!K252</f>
        <v>0</v>
      </c>
      <c r="G36" s="37" t="s">
        <v>1134</v>
      </c>
      <c r="H36" s="37">
        <f t="shared" si="0"/>
        <v>0</v>
      </c>
    </row>
    <row r="37" spans="1:8" x14ac:dyDescent="0.25">
      <c r="A37" s="47" t="s">
        <v>486</v>
      </c>
      <c r="B37" s="102" t="s">
        <v>871</v>
      </c>
      <c r="C37" s="93"/>
      <c r="D37" s="37">
        <f>'Stavební rozpočet'!I263</f>
        <v>0</v>
      </c>
      <c r="E37" s="37">
        <f>'Stavební rozpočet'!J263</f>
        <v>0</v>
      </c>
      <c r="F37" s="37">
        <f>'Stavební rozpočet'!K263</f>
        <v>0</v>
      </c>
      <c r="G37" s="37" t="s">
        <v>1134</v>
      </c>
      <c r="H37" s="37">
        <f t="shared" si="0"/>
        <v>0</v>
      </c>
    </row>
    <row r="38" spans="1:8" x14ac:dyDescent="0.25">
      <c r="A38" s="47" t="s">
        <v>102</v>
      </c>
      <c r="B38" s="102" t="s">
        <v>878</v>
      </c>
      <c r="C38" s="93"/>
      <c r="D38" s="37">
        <f>'Stavební rozpočet'!I270</f>
        <v>0</v>
      </c>
      <c r="E38" s="37">
        <f>'Stavební rozpočet'!J270</f>
        <v>0</v>
      </c>
      <c r="F38" s="37">
        <f>'Stavební rozpočet'!K270</f>
        <v>0</v>
      </c>
      <c r="G38" s="37" t="s">
        <v>1134</v>
      </c>
      <c r="H38" s="37">
        <f t="shared" si="0"/>
        <v>0</v>
      </c>
    </row>
    <row r="39" spans="1:8" x14ac:dyDescent="0.25">
      <c r="A39" s="47" t="s">
        <v>499</v>
      </c>
      <c r="B39" s="102" t="s">
        <v>885</v>
      </c>
      <c r="C39" s="93"/>
      <c r="D39" s="37">
        <f>'Stavební rozpočet'!I277</f>
        <v>0</v>
      </c>
      <c r="E39" s="37">
        <f>'Stavební rozpočet'!J277</f>
        <v>0</v>
      </c>
      <c r="F39" s="37">
        <f>'Stavební rozpočet'!K277</f>
        <v>0</v>
      </c>
      <c r="G39" s="37" t="s">
        <v>1134</v>
      </c>
      <c r="H39" s="37">
        <f t="shared" si="0"/>
        <v>0</v>
      </c>
    </row>
    <row r="40" spans="1:8" x14ac:dyDescent="0.25">
      <c r="A40" s="47" t="s">
        <v>502</v>
      </c>
      <c r="B40" s="102" t="s">
        <v>889</v>
      </c>
      <c r="C40" s="93"/>
      <c r="D40" s="37">
        <f>'Stavební rozpočet'!I281</f>
        <v>0</v>
      </c>
      <c r="E40" s="37">
        <f>'Stavební rozpočet'!J281</f>
        <v>0</v>
      </c>
      <c r="F40" s="37">
        <f>'Stavební rozpočet'!K281</f>
        <v>0</v>
      </c>
      <c r="G40" s="37" t="s">
        <v>1134</v>
      </c>
      <c r="H40" s="37">
        <f t="shared" si="0"/>
        <v>0</v>
      </c>
    </row>
    <row r="41" spans="1:8" x14ac:dyDescent="0.25">
      <c r="A41" s="47" t="s">
        <v>97</v>
      </c>
      <c r="B41" s="102" t="s">
        <v>892</v>
      </c>
      <c r="C41" s="93"/>
      <c r="D41" s="37">
        <f>'Stavební rozpočet'!I284</f>
        <v>0</v>
      </c>
      <c r="E41" s="37">
        <f>'Stavební rozpočet'!J284</f>
        <v>0</v>
      </c>
      <c r="F41" s="37">
        <f>'Stavební rozpočet'!K284</f>
        <v>0</v>
      </c>
      <c r="G41" s="37" t="s">
        <v>1134</v>
      </c>
      <c r="H41" s="37">
        <f t="shared" si="0"/>
        <v>0</v>
      </c>
    </row>
    <row r="42" spans="1:8" x14ac:dyDescent="0.25">
      <c r="A42" s="47" t="s">
        <v>99</v>
      </c>
      <c r="B42" s="102" t="s">
        <v>895</v>
      </c>
      <c r="C42" s="93"/>
      <c r="D42" s="37">
        <f>'Stavební rozpočet'!I287</f>
        <v>0</v>
      </c>
      <c r="E42" s="37">
        <f>'Stavební rozpočet'!J287</f>
        <v>0</v>
      </c>
      <c r="F42" s="37">
        <f>'Stavební rozpočet'!K287</f>
        <v>0</v>
      </c>
      <c r="G42" s="37" t="s">
        <v>1134</v>
      </c>
      <c r="H42" s="37">
        <f t="shared" si="0"/>
        <v>0</v>
      </c>
    </row>
    <row r="43" spans="1:8" x14ac:dyDescent="0.25">
      <c r="A43" s="47" t="s">
        <v>103</v>
      </c>
      <c r="B43" s="102" t="s">
        <v>899</v>
      </c>
      <c r="C43" s="93"/>
      <c r="D43" s="37">
        <f>'Stavební rozpočet'!I291</f>
        <v>0</v>
      </c>
      <c r="E43" s="37">
        <f>'Stavební rozpočet'!J291</f>
        <v>0</v>
      </c>
      <c r="F43" s="37">
        <f>'Stavební rozpočet'!K291</f>
        <v>0</v>
      </c>
      <c r="G43" s="37" t="s">
        <v>1134</v>
      </c>
      <c r="H43" s="37">
        <f t="shared" ref="H43:H74" si="1">IF(G43="F",0,F43)</f>
        <v>0</v>
      </c>
    </row>
    <row r="44" spans="1:8" x14ac:dyDescent="0.25">
      <c r="A44" s="47" t="s">
        <v>513</v>
      </c>
      <c r="B44" s="102" t="s">
        <v>905</v>
      </c>
      <c r="C44" s="93"/>
      <c r="D44" s="37">
        <f>'Stavební rozpočet'!I297</f>
        <v>0</v>
      </c>
      <c r="E44" s="37">
        <f>'Stavební rozpočet'!J297</f>
        <v>0</v>
      </c>
      <c r="F44" s="37">
        <f>'Stavební rozpočet'!K297</f>
        <v>0</v>
      </c>
      <c r="G44" s="37" t="s">
        <v>1134</v>
      </c>
      <c r="H44" s="37">
        <f t="shared" si="1"/>
        <v>0</v>
      </c>
    </row>
    <row r="45" spans="1:8" x14ac:dyDescent="0.25">
      <c r="A45" s="47" t="s">
        <v>515</v>
      </c>
      <c r="B45" s="102" t="s">
        <v>907</v>
      </c>
      <c r="C45" s="93"/>
      <c r="D45" s="37">
        <f>'Stavební rozpočet'!I299</f>
        <v>0</v>
      </c>
      <c r="E45" s="37">
        <f>'Stavební rozpočet'!J299</f>
        <v>0</v>
      </c>
      <c r="F45" s="37">
        <f>'Stavební rozpočet'!K299</f>
        <v>0</v>
      </c>
      <c r="G45" s="37" t="s">
        <v>1134</v>
      </c>
      <c r="H45" s="37">
        <f t="shared" si="1"/>
        <v>0</v>
      </c>
    </row>
    <row r="46" spans="1:8" x14ac:dyDescent="0.25">
      <c r="A46" s="47" t="s">
        <v>517</v>
      </c>
      <c r="B46" s="102" t="s">
        <v>909</v>
      </c>
      <c r="C46" s="93"/>
      <c r="D46" s="37">
        <f>'Stavební rozpočet'!I301</f>
        <v>0</v>
      </c>
      <c r="E46" s="37">
        <f>'Stavební rozpočet'!J301</f>
        <v>0</v>
      </c>
      <c r="F46" s="37">
        <f>'Stavební rozpočet'!K301</f>
        <v>0</v>
      </c>
      <c r="G46" s="37" t="s">
        <v>1134</v>
      </c>
      <c r="H46" s="37">
        <f t="shared" si="1"/>
        <v>0</v>
      </c>
    </row>
    <row r="47" spans="1:8" x14ac:dyDescent="0.25">
      <c r="A47" s="47" t="s">
        <v>519</v>
      </c>
      <c r="B47" s="102" t="s">
        <v>911</v>
      </c>
      <c r="C47" s="93"/>
      <c r="D47" s="37">
        <f>'Stavební rozpočet'!I303</f>
        <v>0</v>
      </c>
      <c r="E47" s="37">
        <f>'Stavební rozpočet'!J303</f>
        <v>0</v>
      </c>
      <c r="F47" s="37">
        <f>'Stavební rozpočet'!K303</f>
        <v>0</v>
      </c>
      <c r="G47" s="37" t="s">
        <v>1134</v>
      </c>
      <c r="H47" s="37">
        <f t="shared" si="1"/>
        <v>0</v>
      </c>
    </row>
    <row r="48" spans="1:8" x14ac:dyDescent="0.25">
      <c r="A48" s="47" t="s">
        <v>521</v>
      </c>
      <c r="B48" s="102" t="s">
        <v>913</v>
      </c>
      <c r="C48" s="93"/>
      <c r="D48" s="37">
        <f>'Stavební rozpočet'!I305</f>
        <v>0</v>
      </c>
      <c r="E48" s="37">
        <f>'Stavební rozpočet'!J305</f>
        <v>0</v>
      </c>
      <c r="F48" s="37">
        <f>'Stavební rozpočet'!K305</f>
        <v>0</v>
      </c>
      <c r="G48" s="37" t="s">
        <v>1134</v>
      </c>
      <c r="H48" s="37">
        <f t="shared" si="1"/>
        <v>0</v>
      </c>
    </row>
    <row r="49" spans="1:8" x14ac:dyDescent="0.25">
      <c r="A49" s="47" t="s">
        <v>523</v>
      </c>
      <c r="B49" s="102" t="s">
        <v>915</v>
      </c>
      <c r="C49" s="93"/>
      <c r="D49" s="37">
        <f>'Stavební rozpočet'!I307</f>
        <v>0</v>
      </c>
      <c r="E49" s="37">
        <f>'Stavební rozpočet'!J307</f>
        <v>0</v>
      </c>
      <c r="F49" s="37">
        <f>'Stavební rozpočet'!K307</f>
        <v>0</v>
      </c>
      <c r="G49" s="37" t="s">
        <v>1134</v>
      </c>
      <c r="H49" s="37">
        <f t="shared" si="1"/>
        <v>0</v>
      </c>
    </row>
    <row r="50" spans="1:8" x14ac:dyDescent="0.25">
      <c r="A50" s="47" t="s">
        <v>525</v>
      </c>
      <c r="B50" s="102" t="s">
        <v>917</v>
      </c>
      <c r="C50" s="93"/>
      <c r="D50" s="37">
        <f>'Stavební rozpočet'!I309</f>
        <v>0</v>
      </c>
      <c r="E50" s="37">
        <f>'Stavební rozpočet'!J309</f>
        <v>0</v>
      </c>
      <c r="F50" s="37">
        <f>'Stavební rozpočet'!K309</f>
        <v>0</v>
      </c>
      <c r="G50" s="37" t="s">
        <v>1134</v>
      </c>
      <c r="H50" s="37">
        <f t="shared" si="1"/>
        <v>0</v>
      </c>
    </row>
    <row r="51" spans="1:8" x14ac:dyDescent="0.25">
      <c r="A51" s="47" t="s">
        <v>527</v>
      </c>
      <c r="B51" s="102" t="s">
        <v>919</v>
      </c>
      <c r="C51" s="93"/>
      <c r="D51" s="37">
        <f>'Stavební rozpočet'!I311</f>
        <v>0</v>
      </c>
      <c r="E51" s="37">
        <f>'Stavební rozpočet'!J311</f>
        <v>0</v>
      </c>
      <c r="F51" s="37">
        <f>'Stavební rozpočet'!K311</f>
        <v>0</v>
      </c>
      <c r="G51" s="37" t="s">
        <v>1134</v>
      </c>
      <c r="H51" s="37">
        <f t="shared" si="1"/>
        <v>0</v>
      </c>
    </row>
    <row r="52" spans="1:8" x14ac:dyDescent="0.25">
      <c r="A52" s="47" t="s">
        <v>529</v>
      </c>
      <c r="B52" s="102" t="s">
        <v>704</v>
      </c>
      <c r="C52" s="93"/>
      <c r="D52" s="37">
        <f>'Stavební rozpočet'!I313</f>
        <v>0</v>
      </c>
      <c r="E52" s="37">
        <f>'Stavební rozpočet'!J313</f>
        <v>0</v>
      </c>
      <c r="F52" s="37">
        <f>'Stavební rozpočet'!K313</f>
        <v>0</v>
      </c>
      <c r="G52" s="37" t="s">
        <v>1134</v>
      </c>
      <c r="H52" s="37">
        <f t="shared" si="1"/>
        <v>0</v>
      </c>
    </row>
    <row r="53" spans="1:8" x14ac:dyDescent="0.25">
      <c r="A53" s="47" t="s">
        <v>531</v>
      </c>
      <c r="B53" s="102" t="s">
        <v>713</v>
      </c>
      <c r="C53" s="93"/>
      <c r="D53" s="37">
        <f>'Stavební rozpočet'!I315</f>
        <v>0</v>
      </c>
      <c r="E53" s="37">
        <f>'Stavební rozpočet'!J315</f>
        <v>0</v>
      </c>
      <c r="F53" s="37">
        <f>'Stavební rozpočet'!K315</f>
        <v>0</v>
      </c>
      <c r="G53" s="37" t="s">
        <v>1134</v>
      </c>
      <c r="H53" s="37">
        <f t="shared" si="1"/>
        <v>0</v>
      </c>
    </row>
    <row r="54" spans="1:8" x14ac:dyDescent="0.25">
      <c r="A54" s="47" t="s">
        <v>533</v>
      </c>
      <c r="B54" s="102" t="s">
        <v>722</v>
      </c>
      <c r="C54" s="93"/>
      <c r="D54" s="37">
        <f>'Stavební rozpočet'!I317</f>
        <v>0</v>
      </c>
      <c r="E54" s="37">
        <f>'Stavební rozpočet'!J317</f>
        <v>0</v>
      </c>
      <c r="F54" s="37">
        <f>'Stavební rozpočet'!K317</f>
        <v>0</v>
      </c>
      <c r="G54" s="37" t="s">
        <v>1134</v>
      </c>
      <c r="H54" s="37">
        <f t="shared" si="1"/>
        <v>0</v>
      </c>
    </row>
    <row r="55" spans="1:8" x14ac:dyDescent="0.25">
      <c r="A55" s="47" t="s">
        <v>535</v>
      </c>
      <c r="B55" s="102" t="s">
        <v>738</v>
      </c>
      <c r="C55" s="93"/>
      <c r="D55" s="37">
        <f>'Stavební rozpočet'!I319</f>
        <v>0</v>
      </c>
      <c r="E55" s="37">
        <f>'Stavební rozpočet'!J319</f>
        <v>0</v>
      </c>
      <c r="F55" s="37">
        <f>'Stavební rozpočet'!K319</f>
        <v>0</v>
      </c>
      <c r="G55" s="37" t="s">
        <v>1134</v>
      </c>
      <c r="H55" s="37">
        <f t="shared" si="1"/>
        <v>0</v>
      </c>
    </row>
    <row r="56" spans="1:8" x14ac:dyDescent="0.25">
      <c r="A56" s="47" t="s">
        <v>537</v>
      </c>
      <c r="B56" s="102" t="s">
        <v>767</v>
      </c>
      <c r="C56" s="93"/>
      <c r="D56" s="37">
        <f>'Stavební rozpočet'!I321</f>
        <v>0</v>
      </c>
      <c r="E56" s="37">
        <f>'Stavební rozpočet'!J321</f>
        <v>0</v>
      </c>
      <c r="F56" s="37">
        <f>'Stavební rozpočet'!K321</f>
        <v>0</v>
      </c>
      <c r="G56" s="37" t="s">
        <v>1134</v>
      </c>
      <c r="H56" s="37">
        <f t="shared" si="1"/>
        <v>0</v>
      </c>
    </row>
    <row r="57" spans="1:8" x14ac:dyDescent="0.25">
      <c r="A57" s="47" t="s">
        <v>539</v>
      </c>
      <c r="B57" s="102" t="s">
        <v>789</v>
      </c>
      <c r="C57" s="93"/>
      <c r="D57" s="37">
        <f>'Stavební rozpočet'!I323</f>
        <v>0</v>
      </c>
      <c r="E57" s="37">
        <f>'Stavební rozpočet'!J323</f>
        <v>0</v>
      </c>
      <c r="F57" s="37">
        <f>'Stavební rozpočet'!K323</f>
        <v>0</v>
      </c>
      <c r="G57" s="37" t="s">
        <v>1134</v>
      </c>
      <c r="H57" s="37">
        <f t="shared" si="1"/>
        <v>0</v>
      </c>
    </row>
    <row r="58" spans="1:8" x14ac:dyDescent="0.25">
      <c r="A58" s="47" t="s">
        <v>541</v>
      </c>
      <c r="B58" s="102" t="s">
        <v>798</v>
      </c>
      <c r="C58" s="93"/>
      <c r="D58" s="37">
        <f>'Stavební rozpočet'!I325</f>
        <v>0</v>
      </c>
      <c r="E58" s="37">
        <f>'Stavební rozpočet'!J325</f>
        <v>0</v>
      </c>
      <c r="F58" s="37">
        <f>'Stavební rozpočet'!K325</f>
        <v>0</v>
      </c>
      <c r="G58" s="37" t="s">
        <v>1134</v>
      </c>
      <c r="H58" s="37">
        <f t="shared" si="1"/>
        <v>0</v>
      </c>
    </row>
    <row r="59" spans="1:8" x14ac:dyDescent="0.25">
      <c r="A59" s="47" t="s">
        <v>543</v>
      </c>
      <c r="B59" s="102" t="s">
        <v>928</v>
      </c>
      <c r="C59" s="93"/>
      <c r="D59" s="37">
        <f>'Stavební rozpočet'!I327</f>
        <v>0</v>
      </c>
      <c r="E59" s="37">
        <f>'Stavební rozpočet'!J327</f>
        <v>0</v>
      </c>
      <c r="F59" s="37">
        <f>'Stavební rozpočet'!K327</f>
        <v>0</v>
      </c>
      <c r="G59" s="37" t="s">
        <v>1134</v>
      </c>
      <c r="H59" s="37">
        <f t="shared" si="1"/>
        <v>0</v>
      </c>
    </row>
    <row r="60" spans="1:8" x14ac:dyDescent="0.25">
      <c r="A60" s="47" t="s">
        <v>547</v>
      </c>
      <c r="B60" s="102" t="s">
        <v>932</v>
      </c>
      <c r="C60" s="93"/>
      <c r="D60" s="37">
        <f>'Stavební rozpočet'!I331</f>
        <v>0</v>
      </c>
      <c r="E60" s="37">
        <f>'Stavební rozpočet'!J331</f>
        <v>0</v>
      </c>
      <c r="F60" s="37">
        <f>'Stavební rozpočet'!K331</f>
        <v>0</v>
      </c>
      <c r="G60" s="37" t="s">
        <v>1134</v>
      </c>
      <c r="H60" s="37">
        <f t="shared" si="1"/>
        <v>0</v>
      </c>
    </row>
    <row r="61" spans="1:8" x14ac:dyDescent="0.25">
      <c r="A61" s="47" t="s">
        <v>554</v>
      </c>
      <c r="B61" s="102" t="s">
        <v>939</v>
      </c>
      <c r="C61" s="93"/>
      <c r="D61" s="37">
        <f>'Stavební rozpočet'!I338</f>
        <v>0</v>
      </c>
      <c r="E61" s="37">
        <f>'Stavební rozpočet'!J338</f>
        <v>0</v>
      </c>
      <c r="F61" s="37">
        <f>'Stavební rozpočet'!K338</f>
        <v>0</v>
      </c>
      <c r="G61" s="37" t="s">
        <v>1134</v>
      </c>
      <c r="H61" s="37">
        <f t="shared" si="1"/>
        <v>0</v>
      </c>
    </row>
    <row r="62" spans="1:8" x14ac:dyDescent="0.25">
      <c r="A62" s="47" t="s">
        <v>584</v>
      </c>
      <c r="B62" s="102" t="s">
        <v>975</v>
      </c>
      <c r="C62" s="93"/>
      <c r="D62" s="37">
        <f>'Stavební rozpočet'!I376</f>
        <v>0</v>
      </c>
      <c r="E62" s="37">
        <f>'Stavební rozpočet'!J376</f>
        <v>0</v>
      </c>
      <c r="F62" s="37">
        <f>'Stavební rozpočet'!K376</f>
        <v>0</v>
      </c>
      <c r="G62" s="37" t="s">
        <v>1134</v>
      </c>
      <c r="H62" s="37">
        <f t="shared" si="1"/>
        <v>0</v>
      </c>
    </row>
    <row r="63" spans="1:8" x14ac:dyDescent="0.25">
      <c r="A63" s="47" t="s">
        <v>596</v>
      </c>
      <c r="B63" s="102" t="s">
        <v>990</v>
      </c>
      <c r="C63" s="93"/>
      <c r="D63" s="37">
        <f>'Stavební rozpočet'!I392</f>
        <v>0</v>
      </c>
      <c r="E63" s="37">
        <f>'Stavební rozpočet'!J392</f>
        <v>0</v>
      </c>
      <c r="F63" s="37">
        <f>'Stavební rozpočet'!K392</f>
        <v>0</v>
      </c>
      <c r="G63" s="37" t="s">
        <v>1134</v>
      </c>
      <c r="H63" s="37">
        <f t="shared" si="1"/>
        <v>0</v>
      </c>
    </row>
    <row r="64" spans="1:8" x14ac:dyDescent="0.25">
      <c r="A64" s="47" t="s">
        <v>605</v>
      </c>
      <c r="B64" s="102" t="s">
        <v>1001</v>
      </c>
      <c r="C64" s="93"/>
      <c r="D64" s="37">
        <f>'Stavební rozpočet'!I403</f>
        <v>0</v>
      </c>
      <c r="E64" s="37">
        <f>'Stavební rozpočet'!J403</f>
        <v>0</v>
      </c>
      <c r="F64" s="37">
        <f>'Stavební rozpočet'!K403</f>
        <v>0</v>
      </c>
      <c r="G64" s="37" t="s">
        <v>1134</v>
      </c>
      <c r="H64" s="37">
        <f t="shared" si="1"/>
        <v>0</v>
      </c>
    </row>
    <row r="65" spans="1:8" x14ac:dyDescent="0.25">
      <c r="A65" s="47" t="s">
        <v>613</v>
      </c>
      <c r="B65" s="102" t="s">
        <v>1009</v>
      </c>
      <c r="C65" s="93"/>
      <c r="D65" s="37">
        <f>'Stavební rozpočet'!I411</f>
        <v>0</v>
      </c>
      <c r="E65" s="37">
        <f>'Stavební rozpočet'!J411</f>
        <v>0</v>
      </c>
      <c r="F65" s="37">
        <f>'Stavební rozpočet'!K411</f>
        <v>0</v>
      </c>
      <c r="G65" s="37" t="s">
        <v>1134</v>
      </c>
      <c r="H65" s="37">
        <f t="shared" si="1"/>
        <v>0</v>
      </c>
    </row>
    <row r="66" spans="1:8" x14ac:dyDescent="0.25">
      <c r="E66" s="49" t="s">
        <v>1043</v>
      </c>
      <c r="F66" s="51">
        <f>ROUND(SUM(H11:H65),0)</f>
        <v>0</v>
      </c>
    </row>
  </sheetData>
  <mergeCells count="73">
    <mergeCell ref="B64:C64"/>
    <mergeCell ref="B65:C65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A6:A7"/>
    <mergeCell ref="B6:C7"/>
    <mergeCell ref="D6:D7"/>
    <mergeCell ref="E6:F7"/>
    <mergeCell ref="A8:A9"/>
    <mergeCell ref="B8:C9"/>
    <mergeCell ref="D8:D9"/>
    <mergeCell ref="E8:F9"/>
    <mergeCell ref="A1:F1"/>
    <mergeCell ref="A2:A3"/>
    <mergeCell ref="B2:C3"/>
    <mergeCell ref="D2:D3"/>
    <mergeCell ref="E2:F3"/>
    <mergeCell ref="A4:A5"/>
    <mergeCell ref="B4:C5"/>
    <mergeCell ref="D4:D5"/>
    <mergeCell ref="E4:F5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5"/>
  <sheetViews>
    <sheetView workbookViewId="0">
      <pane ySplit="10" topLeftCell="A11" activePane="bottomLeft" state="frozenSplit"/>
      <selection pane="bottomLeft" sqref="A1:G1"/>
    </sheetView>
  </sheetViews>
  <sheetFormatPr defaultColWidth="11.5546875" defaultRowHeight="13.2" x14ac:dyDescent="0.25"/>
  <cols>
    <col min="1" max="1" width="17.88671875" customWidth="1"/>
    <col min="2" max="2" width="17.33203125" customWidth="1"/>
    <col min="3" max="3" width="86.77734375" customWidth="1"/>
    <col min="4" max="4" width="14.5546875" customWidth="1"/>
    <col min="5" max="5" width="24.109375" customWidth="1"/>
    <col min="6" max="6" width="15.77734375" customWidth="1"/>
    <col min="7" max="7" width="18.109375" customWidth="1"/>
  </cols>
  <sheetData>
    <row r="1" spans="1:8" ht="73.05" customHeight="1" x14ac:dyDescent="0.4">
      <c r="A1" s="88" t="s">
        <v>1135</v>
      </c>
      <c r="B1" s="89"/>
      <c r="C1" s="89"/>
      <c r="D1" s="89"/>
      <c r="E1" s="89"/>
      <c r="F1" s="89"/>
      <c r="G1" s="89"/>
    </row>
    <row r="2" spans="1:8" x14ac:dyDescent="0.25">
      <c r="A2" s="90" t="s">
        <v>1</v>
      </c>
      <c r="B2" s="94" t="str">
        <f>'Stavební rozpočet'!C2</f>
        <v>Plynová kotelna pro vytápění MŠ Doubrava</v>
      </c>
      <c r="C2" s="128"/>
      <c r="D2" s="97" t="s">
        <v>1032</v>
      </c>
      <c r="E2" s="97" t="str">
        <f>'Stavební rozpočet'!I2</f>
        <v xml:space="preserve">Obec Doubrava,Doubrava č.p. 599, 735 33 Doubrava_x000D_
</v>
      </c>
      <c r="F2" s="91"/>
      <c r="G2" s="98"/>
      <c r="H2" s="5"/>
    </row>
    <row r="3" spans="1:8" x14ac:dyDescent="0.25">
      <c r="A3" s="92"/>
      <c r="B3" s="95"/>
      <c r="C3" s="95"/>
      <c r="D3" s="93"/>
      <c r="E3" s="93"/>
      <c r="F3" s="93"/>
      <c r="G3" s="99"/>
      <c r="H3" s="5"/>
    </row>
    <row r="4" spans="1:8" x14ac:dyDescent="0.25">
      <c r="A4" s="100" t="s">
        <v>2</v>
      </c>
      <c r="B4" s="101" t="str">
        <f>'Stavební rozpočet'!C4</f>
        <v>Občanská vybavenost</v>
      </c>
      <c r="C4" s="93"/>
      <c r="D4" s="101" t="s">
        <v>1033</v>
      </c>
      <c r="E4" s="101" t="str">
        <f>'Stavební rozpočet'!I4</f>
        <v>Ing. Stanislav Wilczek</v>
      </c>
      <c r="F4" s="93"/>
      <c r="G4" s="99"/>
      <c r="H4" s="5"/>
    </row>
    <row r="5" spans="1:8" x14ac:dyDescent="0.25">
      <c r="A5" s="92"/>
      <c r="B5" s="93"/>
      <c r="C5" s="93"/>
      <c r="D5" s="93"/>
      <c r="E5" s="93"/>
      <c r="F5" s="93"/>
      <c r="G5" s="99"/>
      <c r="H5" s="5"/>
    </row>
    <row r="6" spans="1:8" x14ac:dyDescent="0.25">
      <c r="A6" s="100" t="s">
        <v>3</v>
      </c>
      <c r="B6" s="101" t="str">
        <f>'Stavební rozpočet'!C6</f>
        <v>Obec Doubrava, č.p. 496,  735 33 Doubrava</v>
      </c>
      <c r="C6" s="93"/>
      <c r="D6" s="101" t="s">
        <v>1034</v>
      </c>
      <c r="E6" s="101" t="str">
        <f>'Stavební rozpočet'!I6</f>
        <v> </v>
      </c>
      <c r="F6" s="93"/>
      <c r="G6" s="99"/>
      <c r="H6" s="5"/>
    </row>
    <row r="7" spans="1:8" x14ac:dyDescent="0.25">
      <c r="A7" s="92"/>
      <c r="B7" s="93"/>
      <c r="C7" s="93"/>
      <c r="D7" s="93"/>
      <c r="E7" s="93"/>
      <c r="F7" s="93"/>
      <c r="G7" s="99"/>
      <c r="H7" s="5"/>
    </row>
    <row r="8" spans="1:8" x14ac:dyDescent="0.25">
      <c r="A8" s="100" t="s">
        <v>1035</v>
      </c>
      <c r="B8" s="101" t="str">
        <f>'Stavební rozpočet'!I8</f>
        <v>Ing. Stanislav Wilczek</v>
      </c>
      <c r="C8" s="93"/>
      <c r="D8" s="101" t="s">
        <v>1015</v>
      </c>
      <c r="E8" s="101" t="str">
        <f>'Stavební rozpočet'!F8</f>
        <v>19.10.2020</v>
      </c>
      <c r="F8" s="93"/>
      <c r="G8" s="99"/>
      <c r="H8" s="5"/>
    </row>
    <row r="9" spans="1:8" x14ac:dyDescent="0.25">
      <c r="A9" s="103"/>
      <c r="B9" s="104"/>
      <c r="C9" s="104"/>
      <c r="D9" s="104"/>
      <c r="E9" s="104"/>
      <c r="F9" s="104"/>
      <c r="G9" s="105"/>
      <c r="H9" s="5"/>
    </row>
    <row r="10" spans="1:8" x14ac:dyDescent="0.25">
      <c r="A10" s="45" t="s">
        <v>5</v>
      </c>
      <c r="B10" s="54" t="s">
        <v>302</v>
      </c>
      <c r="C10" s="129" t="s">
        <v>619</v>
      </c>
      <c r="D10" s="130"/>
      <c r="E10" s="54" t="s">
        <v>1017</v>
      </c>
      <c r="F10" s="55" t="s">
        <v>1031</v>
      </c>
      <c r="G10" s="58" t="s">
        <v>1136</v>
      </c>
      <c r="H10" s="35"/>
    </row>
    <row r="11" spans="1:8" x14ac:dyDescent="0.25">
      <c r="A11" s="52"/>
      <c r="B11" s="13" t="s">
        <v>17</v>
      </c>
      <c r="C11" s="115" t="s">
        <v>621</v>
      </c>
      <c r="D11" s="116"/>
      <c r="E11" s="13"/>
      <c r="F11" s="42"/>
      <c r="G11" s="30"/>
      <c r="H11" s="5"/>
    </row>
    <row r="12" spans="1:8" x14ac:dyDescent="0.25">
      <c r="A12" s="4" t="s">
        <v>7</v>
      </c>
      <c r="B12" s="14" t="s">
        <v>303</v>
      </c>
      <c r="C12" s="117" t="s">
        <v>622</v>
      </c>
      <c r="D12" s="118"/>
      <c r="E12" s="14" t="s">
        <v>1018</v>
      </c>
      <c r="F12" s="21">
        <v>5</v>
      </c>
      <c r="G12" s="59">
        <v>0</v>
      </c>
      <c r="H12" s="5"/>
    </row>
    <row r="13" spans="1:8" ht="12.15" customHeight="1" x14ac:dyDescent="0.25">
      <c r="A13" s="4"/>
      <c r="B13" s="14"/>
      <c r="C13" s="133" t="s">
        <v>623</v>
      </c>
      <c r="D13" s="134"/>
      <c r="E13" s="133"/>
      <c r="F13" s="56">
        <v>0</v>
      </c>
      <c r="G13" s="31"/>
      <c r="H13" s="5"/>
    </row>
    <row r="14" spans="1:8" x14ac:dyDescent="0.25">
      <c r="A14" s="4" t="s">
        <v>8</v>
      </c>
      <c r="B14" s="14" t="s">
        <v>304</v>
      </c>
      <c r="C14" s="117" t="s">
        <v>624</v>
      </c>
      <c r="D14" s="118"/>
      <c r="E14" s="14" t="s">
        <v>1019</v>
      </c>
      <c r="F14" s="21">
        <v>0.01</v>
      </c>
      <c r="G14" s="59">
        <v>0</v>
      </c>
      <c r="H14" s="5"/>
    </row>
    <row r="15" spans="1:8" x14ac:dyDescent="0.25">
      <c r="A15" s="53"/>
      <c r="B15" s="15" t="s">
        <v>305</v>
      </c>
      <c r="C15" s="121" t="s">
        <v>625</v>
      </c>
      <c r="D15" s="122"/>
      <c r="E15" s="15"/>
      <c r="F15" s="43"/>
      <c r="G15" s="33"/>
      <c r="H15" s="5"/>
    </row>
    <row r="16" spans="1:8" x14ac:dyDescent="0.25">
      <c r="A16" s="4" t="s">
        <v>9</v>
      </c>
      <c r="B16" s="14" t="s">
        <v>306</v>
      </c>
      <c r="C16" s="117" t="s">
        <v>626</v>
      </c>
      <c r="D16" s="118"/>
      <c r="E16" s="14" t="s">
        <v>1020</v>
      </c>
      <c r="F16" s="21">
        <v>16</v>
      </c>
      <c r="G16" s="59">
        <v>0</v>
      </c>
      <c r="H16" s="5"/>
    </row>
    <row r="17" spans="1:8" x14ac:dyDescent="0.25">
      <c r="A17" s="53"/>
      <c r="B17" s="15" t="s">
        <v>18</v>
      </c>
      <c r="C17" s="121" t="s">
        <v>627</v>
      </c>
      <c r="D17" s="122"/>
      <c r="E17" s="15"/>
      <c r="F17" s="43"/>
      <c r="G17" s="33"/>
      <c r="H17" s="5"/>
    </row>
    <row r="18" spans="1:8" x14ac:dyDescent="0.25">
      <c r="A18" s="4" t="s">
        <v>10</v>
      </c>
      <c r="B18" s="14" t="s">
        <v>307</v>
      </c>
      <c r="C18" s="117" t="s">
        <v>628</v>
      </c>
      <c r="D18" s="118"/>
      <c r="E18" s="14" t="s">
        <v>1021</v>
      </c>
      <c r="F18" s="21">
        <v>3.68</v>
      </c>
      <c r="G18" s="59">
        <v>0</v>
      </c>
      <c r="H18" s="5"/>
    </row>
    <row r="19" spans="1:8" ht="12.15" customHeight="1" x14ac:dyDescent="0.25">
      <c r="A19" s="4"/>
      <c r="B19" s="14"/>
      <c r="C19" s="133" t="s">
        <v>629</v>
      </c>
      <c r="D19" s="134"/>
      <c r="E19" s="133"/>
      <c r="F19" s="56">
        <v>3.68</v>
      </c>
      <c r="G19" s="31"/>
      <c r="H19" s="5"/>
    </row>
    <row r="20" spans="1:8" x14ac:dyDescent="0.25">
      <c r="A20" s="4" t="s">
        <v>11</v>
      </c>
      <c r="B20" s="14" t="s">
        <v>308</v>
      </c>
      <c r="C20" s="117" t="s">
        <v>630</v>
      </c>
      <c r="D20" s="118"/>
      <c r="E20" s="14" t="s">
        <v>1021</v>
      </c>
      <c r="F20" s="21">
        <v>9.3000000000000007</v>
      </c>
      <c r="G20" s="59">
        <v>0</v>
      </c>
      <c r="H20" s="5"/>
    </row>
    <row r="21" spans="1:8" ht="12.15" customHeight="1" x14ac:dyDescent="0.25">
      <c r="A21" s="4"/>
      <c r="B21" s="14"/>
      <c r="C21" s="133" t="s">
        <v>631</v>
      </c>
      <c r="D21" s="134"/>
      <c r="E21" s="133"/>
      <c r="F21" s="56">
        <v>9.3000000000000007</v>
      </c>
      <c r="G21" s="31"/>
      <c r="H21" s="5"/>
    </row>
    <row r="22" spans="1:8" x14ac:dyDescent="0.25">
      <c r="A22" s="53"/>
      <c r="B22" s="15" t="s">
        <v>19</v>
      </c>
      <c r="C22" s="121" t="s">
        <v>632</v>
      </c>
      <c r="D22" s="122"/>
      <c r="E22" s="15"/>
      <c r="F22" s="43"/>
      <c r="G22" s="33"/>
      <c r="H22" s="5"/>
    </row>
    <row r="23" spans="1:8" x14ac:dyDescent="0.25">
      <c r="A23" s="4" t="s">
        <v>12</v>
      </c>
      <c r="B23" s="14" t="s">
        <v>309</v>
      </c>
      <c r="C23" s="117" t="s">
        <v>633</v>
      </c>
      <c r="D23" s="118"/>
      <c r="E23" s="14" t="s">
        <v>1021</v>
      </c>
      <c r="F23" s="21">
        <v>4.0199999999999996</v>
      </c>
      <c r="G23" s="59">
        <v>0</v>
      </c>
      <c r="H23" s="5"/>
    </row>
    <row r="24" spans="1:8" ht="12.15" customHeight="1" x14ac:dyDescent="0.25">
      <c r="A24" s="4"/>
      <c r="B24" s="14"/>
      <c r="C24" s="133" t="s">
        <v>634</v>
      </c>
      <c r="D24" s="134"/>
      <c r="E24" s="133"/>
      <c r="F24" s="56">
        <v>4.0199999999999996</v>
      </c>
      <c r="G24" s="31"/>
      <c r="H24" s="5"/>
    </row>
    <row r="25" spans="1:8" x14ac:dyDescent="0.25">
      <c r="A25" s="53"/>
      <c r="B25" s="15" t="s">
        <v>22</v>
      </c>
      <c r="C25" s="121" t="s">
        <v>635</v>
      </c>
      <c r="D25" s="122"/>
      <c r="E25" s="15"/>
      <c r="F25" s="43"/>
      <c r="G25" s="33"/>
      <c r="H25" s="5"/>
    </row>
    <row r="26" spans="1:8" x14ac:dyDescent="0.25">
      <c r="A26" s="4" t="s">
        <v>13</v>
      </c>
      <c r="B26" s="14" t="s">
        <v>310</v>
      </c>
      <c r="C26" s="117" t="s">
        <v>636</v>
      </c>
      <c r="D26" s="118"/>
      <c r="E26" s="14" t="s">
        <v>1021</v>
      </c>
      <c r="F26" s="21">
        <v>21.71</v>
      </c>
      <c r="G26" s="59">
        <v>0</v>
      </c>
      <c r="H26" s="5"/>
    </row>
    <row r="27" spans="1:8" ht="12.15" customHeight="1" x14ac:dyDescent="0.25">
      <c r="A27" s="4"/>
      <c r="B27" s="14"/>
      <c r="C27" s="133" t="s">
        <v>637</v>
      </c>
      <c r="D27" s="134"/>
      <c r="E27" s="133"/>
      <c r="F27" s="56">
        <v>21.71</v>
      </c>
      <c r="G27" s="31"/>
      <c r="H27" s="5"/>
    </row>
    <row r="28" spans="1:8" x14ac:dyDescent="0.25">
      <c r="A28" s="4" t="s">
        <v>14</v>
      </c>
      <c r="B28" s="14" t="s">
        <v>311</v>
      </c>
      <c r="C28" s="117" t="s">
        <v>638</v>
      </c>
      <c r="D28" s="118"/>
      <c r="E28" s="14" t="s">
        <v>1021</v>
      </c>
      <c r="F28" s="21">
        <v>21.71</v>
      </c>
      <c r="G28" s="59">
        <v>0</v>
      </c>
      <c r="H28" s="5"/>
    </row>
    <row r="29" spans="1:8" x14ac:dyDescent="0.25">
      <c r="A29" s="4" t="s">
        <v>15</v>
      </c>
      <c r="B29" s="14" t="s">
        <v>312</v>
      </c>
      <c r="C29" s="117" t="s">
        <v>639</v>
      </c>
      <c r="D29" s="118"/>
      <c r="E29" s="14" t="s">
        <v>1021</v>
      </c>
      <c r="F29" s="21">
        <v>21.71</v>
      </c>
      <c r="G29" s="59">
        <v>0</v>
      </c>
      <c r="H29" s="5"/>
    </row>
    <row r="30" spans="1:8" x14ac:dyDescent="0.25">
      <c r="A30" s="53"/>
      <c r="B30" s="15" t="s">
        <v>23</v>
      </c>
      <c r="C30" s="121" t="s">
        <v>640</v>
      </c>
      <c r="D30" s="122"/>
      <c r="E30" s="15"/>
      <c r="F30" s="43"/>
      <c r="G30" s="33"/>
      <c r="H30" s="5"/>
    </row>
    <row r="31" spans="1:8" x14ac:dyDescent="0.25">
      <c r="A31" s="4" t="s">
        <v>16</v>
      </c>
      <c r="B31" s="14" t="s">
        <v>313</v>
      </c>
      <c r="C31" s="117" t="s">
        <v>641</v>
      </c>
      <c r="D31" s="118"/>
      <c r="E31" s="14" t="s">
        <v>1021</v>
      </c>
      <c r="F31" s="21">
        <v>2.41</v>
      </c>
      <c r="G31" s="59">
        <v>0</v>
      </c>
      <c r="H31" s="5"/>
    </row>
    <row r="32" spans="1:8" ht="12.15" customHeight="1" x14ac:dyDescent="0.25">
      <c r="A32" s="4"/>
      <c r="B32" s="14"/>
      <c r="C32" s="133" t="s">
        <v>642</v>
      </c>
      <c r="D32" s="134"/>
      <c r="E32" s="133"/>
      <c r="F32" s="56">
        <v>2.41</v>
      </c>
      <c r="G32" s="31"/>
      <c r="H32" s="5"/>
    </row>
    <row r="33" spans="1:8" ht="12.15" customHeight="1" x14ac:dyDescent="0.25">
      <c r="A33" s="4"/>
      <c r="B33" s="14"/>
      <c r="C33" s="133" t="s">
        <v>643</v>
      </c>
      <c r="D33" s="134"/>
      <c r="E33" s="133"/>
      <c r="F33" s="56">
        <v>0</v>
      </c>
      <c r="G33" s="31"/>
      <c r="H33" s="5"/>
    </row>
    <row r="34" spans="1:8" x14ac:dyDescent="0.25">
      <c r="A34" s="4" t="s">
        <v>17</v>
      </c>
      <c r="B34" s="14" t="s">
        <v>314</v>
      </c>
      <c r="C34" s="117" t="s">
        <v>644</v>
      </c>
      <c r="D34" s="118"/>
      <c r="E34" s="14" t="s">
        <v>1021</v>
      </c>
      <c r="F34" s="21">
        <v>2.17</v>
      </c>
      <c r="G34" s="59">
        <v>0</v>
      </c>
      <c r="H34" s="5"/>
    </row>
    <row r="35" spans="1:8" ht="12.15" customHeight="1" x14ac:dyDescent="0.25">
      <c r="A35" s="4"/>
      <c r="B35" s="14"/>
      <c r="C35" s="133" t="s">
        <v>645</v>
      </c>
      <c r="D35" s="134"/>
      <c r="E35" s="133"/>
      <c r="F35" s="56">
        <v>2.17</v>
      </c>
      <c r="G35" s="31"/>
      <c r="H35" s="5"/>
    </row>
    <row r="36" spans="1:8" x14ac:dyDescent="0.25">
      <c r="A36" s="7" t="s">
        <v>18</v>
      </c>
      <c r="B36" s="16" t="s">
        <v>315</v>
      </c>
      <c r="C36" s="123" t="s">
        <v>646</v>
      </c>
      <c r="D36" s="124"/>
      <c r="E36" s="16" t="s">
        <v>1022</v>
      </c>
      <c r="F36" s="23">
        <v>3.9</v>
      </c>
      <c r="G36" s="60">
        <v>0</v>
      </c>
      <c r="H36" s="5"/>
    </row>
    <row r="37" spans="1:8" ht="12.15" customHeight="1" x14ac:dyDescent="0.25">
      <c r="A37" s="7"/>
      <c r="B37" s="16"/>
      <c r="C37" s="135" t="s">
        <v>647</v>
      </c>
      <c r="D37" s="136"/>
      <c r="E37" s="135"/>
      <c r="F37" s="57">
        <v>3.9</v>
      </c>
      <c r="G37" s="34"/>
      <c r="H37" s="5"/>
    </row>
    <row r="38" spans="1:8" x14ac:dyDescent="0.25">
      <c r="A38" s="4" t="s">
        <v>19</v>
      </c>
      <c r="B38" s="14" t="s">
        <v>316</v>
      </c>
      <c r="C38" s="117" t="s">
        <v>648</v>
      </c>
      <c r="D38" s="118"/>
      <c r="E38" s="14" t="s">
        <v>1023</v>
      </c>
      <c r="F38" s="21">
        <v>62</v>
      </c>
      <c r="G38" s="59">
        <v>0</v>
      </c>
      <c r="H38" s="5"/>
    </row>
    <row r="39" spans="1:8" x14ac:dyDescent="0.25">
      <c r="A39" s="4" t="s">
        <v>20</v>
      </c>
      <c r="B39" s="14" t="s">
        <v>317</v>
      </c>
      <c r="C39" s="117" t="s">
        <v>649</v>
      </c>
      <c r="D39" s="118"/>
      <c r="E39" s="14" t="s">
        <v>1022</v>
      </c>
      <c r="F39" s="21">
        <v>31.51</v>
      </c>
      <c r="G39" s="59">
        <v>0</v>
      </c>
      <c r="H39" s="5"/>
    </row>
    <row r="40" spans="1:8" ht="12.15" customHeight="1" x14ac:dyDescent="0.25">
      <c r="A40" s="4"/>
      <c r="B40" s="14"/>
      <c r="C40" s="133" t="s">
        <v>650</v>
      </c>
      <c r="D40" s="134"/>
      <c r="E40" s="133"/>
      <c r="F40" s="56">
        <v>31.51</v>
      </c>
      <c r="G40" s="31"/>
      <c r="H40" s="5"/>
    </row>
    <row r="41" spans="1:8" x14ac:dyDescent="0.25">
      <c r="A41" s="53"/>
      <c r="B41" s="15" t="s">
        <v>37</v>
      </c>
      <c r="C41" s="121" t="s">
        <v>651</v>
      </c>
      <c r="D41" s="122"/>
      <c r="E41" s="15"/>
      <c r="F41" s="43"/>
      <c r="G41" s="33"/>
      <c r="H41" s="5"/>
    </row>
    <row r="42" spans="1:8" x14ac:dyDescent="0.25">
      <c r="A42" s="4" t="s">
        <v>21</v>
      </c>
      <c r="B42" s="14" t="s">
        <v>318</v>
      </c>
      <c r="C42" s="117" t="s">
        <v>652</v>
      </c>
      <c r="D42" s="118"/>
      <c r="E42" s="14" t="s">
        <v>1024</v>
      </c>
      <c r="F42" s="21">
        <v>1</v>
      </c>
      <c r="G42" s="59">
        <v>0</v>
      </c>
      <c r="H42" s="5"/>
    </row>
    <row r="43" spans="1:8" x14ac:dyDescent="0.25">
      <c r="A43" s="4" t="s">
        <v>22</v>
      </c>
      <c r="B43" s="14" t="s">
        <v>319</v>
      </c>
      <c r="C43" s="117" t="s">
        <v>653</v>
      </c>
      <c r="D43" s="118"/>
      <c r="E43" s="14" t="s">
        <v>1024</v>
      </c>
      <c r="F43" s="21">
        <v>4</v>
      </c>
      <c r="G43" s="59">
        <v>0</v>
      </c>
      <c r="H43" s="5"/>
    </row>
    <row r="44" spans="1:8" x14ac:dyDescent="0.25">
      <c r="A44" s="4" t="s">
        <v>23</v>
      </c>
      <c r="B44" s="14" t="s">
        <v>320</v>
      </c>
      <c r="C44" s="117" t="s">
        <v>654</v>
      </c>
      <c r="D44" s="118"/>
      <c r="E44" s="14" t="s">
        <v>1024</v>
      </c>
      <c r="F44" s="21">
        <v>1</v>
      </c>
      <c r="G44" s="59">
        <v>0</v>
      </c>
      <c r="H44" s="5"/>
    </row>
    <row r="45" spans="1:8" x14ac:dyDescent="0.25">
      <c r="A45" s="7" t="s">
        <v>24</v>
      </c>
      <c r="B45" s="16" t="s">
        <v>321</v>
      </c>
      <c r="C45" s="123" t="s">
        <v>655</v>
      </c>
      <c r="D45" s="124"/>
      <c r="E45" s="16" t="s">
        <v>1024</v>
      </c>
      <c r="F45" s="23">
        <v>1</v>
      </c>
      <c r="G45" s="60">
        <v>0</v>
      </c>
      <c r="H45" s="5"/>
    </row>
    <row r="46" spans="1:8" x14ac:dyDescent="0.25">
      <c r="A46" s="4" t="s">
        <v>25</v>
      </c>
      <c r="B46" s="14" t="s">
        <v>320</v>
      </c>
      <c r="C46" s="117" t="s">
        <v>656</v>
      </c>
      <c r="D46" s="118"/>
      <c r="E46" s="14" t="s">
        <v>1024</v>
      </c>
      <c r="F46" s="21">
        <v>4</v>
      </c>
      <c r="G46" s="59">
        <v>0</v>
      </c>
      <c r="H46" s="5"/>
    </row>
    <row r="47" spans="1:8" x14ac:dyDescent="0.25">
      <c r="A47" s="7" t="s">
        <v>26</v>
      </c>
      <c r="B47" s="16" t="s">
        <v>322</v>
      </c>
      <c r="C47" s="123" t="s">
        <v>657</v>
      </c>
      <c r="D47" s="124"/>
      <c r="E47" s="16" t="s">
        <v>1024</v>
      </c>
      <c r="F47" s="23">
        <v>4</v>
      </c>
      <c r="G47" s="60">
        <v>0</v>
      </c>
      <c r="H47" s="5"/>
    </row>
    <row r="48" spans="1:8" x14ac:dyDescent="0.25">
      <c r="A48" s="53"/>
      <c r="B48" s="15" t="s">
        <v>39</v>
      </c>
      <c r="C48" s="121" t="s">
        <v>658</v>
      </c>
      <c r="D48" s="122"/>
      <c r="E48" s="15"/>
      <c r="F48" s="43"/>
      <c r="G48" s="33"/>
      <c r="H48" s="5"/>
    </row>
    <row r="49" spans="1:8" x14ac:dyDescent="0.25">
      <c r="A49" s="4" t="s">
        <v>27</v>
      </c>
      <c r="B49" s="14" t="s">
        <v>323</v>
      </c>
      <c r="C49" s="117" t="s">
        <v>659</v>
      </c>
      <c r="D49" s="118"/>
      <c r="E49" s="14" t="s">
        <v>1024</v>
      </c>
      <c r="F49" s="21">
        <v>6</v>
      </c>
      <c r="G49" s="59">
        <v>0</v>
      </c>
      <c r="H49" s="5"/>
    </row>
    <row r="50" spans="1:8" ht="12.15" customHeight="1" x14ac:dyDescent="0.25">
      <c r="A50" s="4"/>
      <c r="B50" s="14"/>
      <c r="C50" s="133" t="s">
        <v>660</v>
      </c>
      <c r="D50" s="134"/>
      <c r="E50" s="133"/>
      <c r="F50" s="56">
        <v>6</v>
      </c>
      <c r="G50" s="31"/>
      <c r="H50" s="5"/>
    </row>
    <row r="51" spans="1:8" x14ac:dyDescent="0.25">
      <c r="A51" s="4" t="s">
        <v>28</v>
      </c>
      <c r="B51" s="14" t="s">
        <v>324</v>
      </c>
      <c r="C51" s="117" t="s">
        <v>661</v>
      </c>
      <c r="D51" s="118"/>
      <c r="E51" s="14" t="s">
        <v>1024</v>
      </c>
      <c r="F51" s="21">
        <v>22</v>
      </c>
      <c r="G51" s="59">
        <v>0</v>
      </c>
      <c r="H51" s="5"/>
    </row>
    <row r="52" spans="1:8" ht="12.15" customHeight="1" x14ac:dyDescent="0.25">
      <c r="A52" s="4"/>
      <c r="B52" s="14"/>
      <c r="C52" s="133" t="s">
        <v>662</v>
      </c>
      <c r="D52" s="134"/>
      <c r="E52" s="133"/>
      <c r="F52" s="56">
        <v>22</v>
      </c>
      <c r="G52" s="31"/>
      <c r="H52" s="5"/>
    </row>
    <row r="53" spans="1:8" x14ac:dyDescent="0.25">
      <c r="A53" s="7" t="s">
        <v>29</v>
      </c>
      <c r="B53" s="16" t="s">
        <v>325</v>
      </c>
      <c r="C53" s="123" t="s">
        <v>663</v>
      </c>
      <c r="D53" s="124"/>
      <c r="E53" s="16" t="s">
        <v>1025</v>
      </c>
      <c r="F53" s="23">
        <v>10</v>
      </c>
      <c r="G53" s="60">
        <v>0</v>
      </c>
      <c r="H53" s="5"/>
    </row>
    <row r="54" spans="1:8" ht="12.15" customHeight="1" x14ac:dyDescent="0.25">
      <c r="A54" s="7"/>
      <c r="B54" s="16"/>
      <c r="C54" s="135" t="s">
        <v>664</v>
      </c>
      <c r="D54" s="136"/>
      <c r="E54" s="135"/>
      <c r="F54" s="57">
        <v>10</v>
      </c>
      <c r="G54" s="34"/>
      <c r="H54" s="5"/>
    </row>
    <row r="55" spans="1:8" ht="12.15" customHeight="1" x14ac:dyDescent="0.25">
      <c r="A55" s="7"/>
      <c r="B55" s="16"/>
      <c r="C55" s="135" t="s">
        <v>665</v>
      </c>
      <c r="D55" s="136"/>
      <c r="E55" s="135"/>
      <c r="F55" s="57">
        <v>0</v>
      </c>
      <c r="G55" s="34"/>
      <c r="H55" s="5"/>
    </row>
    <row r="56" spans="1:8" x14ac:dyDescent="0.25">
      <c r="A56" s="7" t="s">
        <v>30</v>
      </c>
      <c r="B56" s="16" t="s">
        <v>326</v>
      </c>
      <c r="C56" s="123" t="s">
        <v>666</v>
      </c>
      <c r="D56" s="124"/>
      <c r="E56" s="16" t="s">
        <v>1024</v>
      </c>
      <c r="F56" s="23">
        <v>10</v>
      </c>
      <c r="G56" s="60">
        <v>0</v>
      </c>
      <c r="H56" s="5"/>
    </row>
    <row r="57" spans="1:8" ht="12.15" customHeight="1" x14ac:dyDescent="0.25">
      <c r="A57" s="7"/>
      <c r="B57" s="16"/>
      <c r="C57" s="135" t="s">
        <v>667</v>
      </c>
      <c r="D57" s="136"/>
      <c r="E57" s="135"/>
      <c r="F57" s="57">
        <v>10</v>
      </c>
      <c r="G57" s="34"/>
      <c r="H57" s="5"/>
    </row>
    <row r="58" spans="1:8" x14ac:dyDescent="0.25">
      <c r="A58" s="7" t="s">
        <v>31</v>
      </c>
      <c r="B58" s="16" t="s">
        <v>327</v>
      </c>
      <c r="C58" s="123" t="s">
        <v>668</v>
      </c>
      <c r="D58" s="124"/>
      <c r="E58" s="16" t="s">
        <v>1024</v>
      </c>
      <c r="F58" s="23">
        <v>2</v>
      </c>
      <c r="G58" s="60">
        <v>0</v>
      </c>
      <c r="H58" s="5"/>
    </row>
    <row r="59" spans="1:8" ht="12.15" customHeight="1" x14ac:dyDescent="0.25">
      <c r="A59" s="7"/>
      <c r="B59" s="16"/>
      <c r="C59" s="135" t="s">
        <v>669</v>
      </c>
      <c r="D59" s="136"/>
      <c r="E59" s="135"/>
      <c r="F59" s="57">
        <v>2</v>
      </c>
      <c r="G59" s="34"/>
      <c r="H59" s="5"/>
    </row>
    <row r="60" spans="1:8" x14ac:dyDescent="0.25">
      <c r="A60" s="7" t="s">
        <v>32</v>
      </c>
      <c r="B60" s="16" t="s">
        <v>328</v>
      </c>
      <c r="C60" s="123" t="s">
        <v>670</v>
      </c>
      <c r="D60" s="124"/>
      <c r="E60" s="16" t="s">
        <v>1024</v>
      </c>
      <c r="F60" s="23">
        <v>6</v>
      </c>
      <c r="G60" s="60">
        <v>0</v>
      </c>
      <c r="H60" s="5"/>
    </row>
    <row r="61" spans="1:8" ht="12.15" customHeight="1" x14ac:dyDescent="0.25">
      <c r="A61" s="7"/>
      <c r="B61" s="16"/>
      <c r="C61" s="135" t="s">
        <v>671</v>
      </c>
      <c r="D61" s="136"/>
      <c r="E61" s="135"/>
      <c r="F61" s="57">
        <v>6</v>
      </c>
      <c r="G61" s="34"/>
      <c r="H61" s="5"/>
    </row>
    <row r="62" spans="1:8" x14ac:dyDescent="0.25">
      <c r="A62" s="53"/>
      <c r="B62" s="15" t="s">
        <v>52</v>
      </c>
      <c r="C62" s="121" t="s">
        <v>672</v>
      </c>
      <c r="D62" s="122"/>
      <c r="E62" s="15"/>
      <c r="F62" s="43"/>
      <c r="G62" s="33"/>
      <c r="H62" s="5"/>
    </row>
    <row r="63" spans="1:8" x14ac:dyDescent="0.25">
      <c r="A63" s="4" t="s">
        <v>33</v>
      </c>
      <c r="B63" s="14" t="s">
        <v>329</v>
      </c>
      <c r="C63" s="117" t="s">
        <v>673</v>
      </c>
      <c r="D63" s="118"/>
      <c r="E63" s="14" t="s">
        <v>1023</v>
      </c>
      <c r="F63" s="21">
        <v>54.86</v>
      </c>
      <c r="G63" s="59">
        <v>0</v>
      </c>
      <c r="H63" s="5"/>
    </row>
    <row r="64" spans="1:8" ht="12.15" customHeight="1" x14ac:dyDescent="0.25">
      <c r="A64" s="4"/>
      <c r="B64" s="14"/>
      <c r="C64" s="133" t="s">
        <v>674</v>
      </c>
      <c r="D64" s="134"/>
      <c r="E64" s="133"/>
      <c r="F64" s="56">
        <v>54.86</v>
      </c>
      <c r="G64" s="31"/>
      <c r="H64" s="5"/>
    </row>
    <row r="65" spans="1:8" x14ac:dyDescent="0.25">
      <c r="A65" s="7" t="s">
        <v>34</v>
      </c>
      <c r="B65" s="16" t="s">
        <v>330</v>
      </c>
      <c r="C65" s="123" t="s">
        <v>675</v>
      </c>
      <c r="D65" s="124"/>
      <c r="E65" s="16" t="s">
        <v>1023</v>
      </c>
      <c r="F65" s="23">
        <v>55.96</v>
      </c>
      <c r="G65" s="60">
        <v>0</v>
      </c>
      <c r="H65" s="5"/>
    </row>
    <row r="66" spans="1:8" ht="12.15" customHeight="1" x14ac:dyDescent="0.25">
      <c r="A66" s="7"/>
      <c r="B66" s="16"/>
      <c r="C66" s="135" t="s">
        <v>676</v>
      </c>
      <c r="D66" s="136"/>
      <c r="E66" s="135"/>
      <c r="F66" s="57">
        <v>55.96</v>
      </c>
      <c r="G66" s="34"/>
      <c r="H66" s="5"/>
    </row>
    <row r="67" spans="1:8" x14ac:dyDescent="0.25">
      <c r="A67" s="53"/>
      <c r="B67" s="15" t="s">
        <v>67</v>
      </c>
      <c r="C67" s="121" t="s">
        <v>677</v>
      </c>
      <c r="D67" s="122"/>
      <c r="E67" s="15"/>
      <c r="F67" s="43"/>
      <c r="G67" s="33"/>
      <c r="H67" s="5"/>
    </row>
    <row r="68" spans="1:8" x14ac:dyDescent="0.25">
      <c r="A68" s="4" t="s">
        <v>35</v>
      </c>
      <c r="B68" s="14" t="s">
        <v>331</v>
      </c>
      <c r="C68" s="117" t="s">
        <v>678</v>
      </c>
      <c r="D68" s="118"/>
      <c r="E68" s="14" t="s">
        <v>1023</v>
      </c>
      <c r="F68" s="21">
        <v>19.3</v>
      </c>
      <c r="G68" s="59">
        <v>0</v>
      </c>
      <c r="H68" s="5"/>
    </row>
    <row r="69" spans="1:8" ht="12.15" customHeight="1" x14ac:dyDescent="0.25">
      <c r="A69" s="4"/>
      <c r="B69" s="14"/>
      <c r="C69" s="133" t="s">
        <v>679</v>
      </c>
      <c r="D69" s="134"/>
      <c r="E69" s="133"/>
      <c r="F69" s="56">
        <v>19.3</v>
      </c>
      <c r="G69" s="31"/>
      <c r="H69" s="5"/>
    </row>
    <row r="70" spans="1:8" x14ac:dyDescent="0.25">
      <c r="A70" s="4" t="s">
        <v>36</v>
      </c>
      <c r="B70" s="14" t="s">
        <v>332</v>
      </c>
      <c r="C70" s="117" t="s">
        <v>680</v>
      </c>
      <c r="D70" s="118"/>
      <c r="E70" s="14" t="s">
        <v>1023</v>
      </c>
      <c r="F70" s="21">
        <v>3</v>
      </c>
      <c r="G70" s="59">
        <v>0</v>
      </c>
      <c r="H70" s="5"/>
    </row>
    <row r="71" spans="1:8" x14ac:dyDescent="0.25">
      <c r="A71" s="4" t="s">
        <v>37</v>
      </c>
      <c r="B71" s="14" t="s">
        <v>333</v>
      </c>
      <c r="C71" s="117" t="s">
        <v>681</v>
      </c>
      <c r="D71" s="118"/>
      <c r="E71" s="14" t="s">
        <v>1023</v>
      </c>
      <c r="F71" s="21">
        <v>7.2</v>
      </c>
      <c r="G71" s="59">
        <v>0</v>
      </c>
      <c r="H71" s="5"/>
    </row>
    <row r="72" spans="1:8" ht="12.15" customHeight="1" x14ac:dyDescent="0.25">
      <c r="A72" s="4"/>
      <c r="B72" s="14"/>
      <c r="C72" s="133" t="s">
        <v>682</v>
      </c>
      <c r="D72" s="134"/>
      <c r="E72" s="133"/>
      <c r="F72" s="56">
        <v>7.2</v>
      </c>
      <c r="G72" s="31"/>
      <c r="H72" s="5"/>
    </row>
    <row r="73" spans="1:8" x14ac:dyDescent="0.25">
      <c r="A73" s="4" t="s">
        <v>38</v>
      </c>
      <c r="B73" s="14" t="s">
        <v>334</v>
      </c>
      <c r="C73" s="117" t="s">
        <v>683</v>
      </c>
      <c r="D73" s="118"/>
      <c r="E73" s="14" t="s">
        <v>1024</v>
      </c>
      <c r="F73" s="21">
        <v>5</v>
      </c>
      <c r="G73" s="59">
        <v>0</v>
      </c>
      <c r="H73" s="5"/>
    </row>
    <row r="74" spans="1:8" x14ac:dyDescent="0.25">
      <c r="A74" s="53"/>
      <c r="B74" s="15" t="s">
        <v>68</v>
      </c>
      <c r="C74" s="121" t="s">
        <v>684</v>
      </c>
      <c r="D74" s="122"/>
      <c r="E74" s="15"/>
      <c r="F74" s="43"/>
      <c r="G74" s="33"/>
      <c r="H74" s="5"/>
    </row>
    <row r="75" spans="1:8" x14ac:dyDescent="0.25">
      <c r="A75" s="4" t="s">
        <v>39</v>
      </c>
      <c r="B75" s="14" t="s">
        <v>335</v>
      </c>
      <c r="C75" s="117" t="s">
        <v>685</v>
      </c>
      <c r="D75" s="118"/>
      <c r="E75" s="14" t="s">
        <v>1023</v>
      </c>
      <c r="F75" s="21">
        <v>0.5</v>
      </c>
      <c r="G75" s="59">
        <v>0</v>
      </c>
      <c r="H75" s="5"/>
    </row>
    <row r="76" spans="1:8" x14ac:dyDescent="0.25">
      <c r="A76" s="53"/>
      <c r="B76" s="15" t="s">
        <v>69</v>
      </c>
      <c r="C76" s="121" t="s">
        <v>686</v>
      </c>
      <c r="D76" s="122"/>
      <c r="E76" s="15"/>
      <c r="F76" s="43"/>
      <c r="G76" s="33"/>
      <c r="H76" s="5"/>
    </row>
    <row r="77" spans="1:8" x14ac:dyDescent="0.25">
      <c r="A77" s="4" t="s">
        <v>40</v>
      </c>
      <c r="B77" s="14" t="s">
        <v>336</v>
      </c>
      <c r="C77" s="117" t="s">
        <v>687</v>
      </c>
      <c r="D77" s="118"/>
      <c r="E77" s="14" t="s">
        <v>1021</v>
      </c>
      <c r="F77" s="21">
        <v>0.18</v>
      </c>
      <c r="G77" s="59">
        <v>0</v>
      </c>
      <c r="H77" s="5"/>
    </row>
    <row r="78" spans="1:8" ht="12.15" customHeight="1" x14ac:dyDescent="0.25">
      <c r="A78" s="4"/>
      <c r="B78" s="14"/>
      <c r="C78" s="133" t="s">
        <v>688</v>
      </c>
      <c r="D78" s="134"/>
      <c r="E78" s="133"/>
      <c r="F78" s="56">
        <v>0.18</v>
      </c>
      <c r="G78" s="31"/>
      <c r="H78" s="5"/>
    </row>
    <row r="79" spans="1:8" x14ac:dyDescent="0.25">
      <c r="A79" s="53"/>
      <c r="B79" s="15" t="s">
        <v>70</v>
      </c>
      <c r="C79" s="121" t="s">
        <v>689</v>
      </c>
      <c r="D79" s="122"/>
      <c r="E79" s="15"/>
      <c r="F79" s="43"/>
      <c r="G79" s="33"/>
      <c r="H79" s="5"/>
    </row>
    <row r="80" spans="1:8" x14ac:dyDescent="0.25">
      <c r="A80" s="4" t="s">
        <v>41</v>
      </c>
      <c r="B80" s="14" t="s">
        <v>337</v>
      </c>
      <c r="C80" s="117" t="s">
        <v>690</v>
      </c>
      <c r="D80" s="118"/>
      <c r="E80" s="14" t="s">
        <v>1024</v>
      </c>
      <c r="F80" s="21">
        <v>1</v>
      </c>
      <c r="G80" s="59">
        <v>0</v>
      </c>
      <c r="H80" s="5"/>
    </row>
    <row r="81" spans="1:8" x14ac:dyDescent="0.25">
      <c r="A81" s="7" t="s">
        <v>42</v>
      </c>
      <c r="B81" s="16" t="s">
        <v>338</v>
      </c>
      <c r="C81" s="123" t="s">
        <v>691</v>
      </c>
      <c r="D81" s="124"/>
      <c r="E81" s="16" t="s">
        <v>1024</v>
      </c>
      <c r="F81" s="23">
        <v>1</v>
      </c>
      <c r="G81" s="60">
        <v>0</v>
      </c>
      <c r="H81" s="5"/>
    </row>
    <row r="82" spans="1:8" x14ac:dyDescent="0.25">
      <c r="A82" s="4" t="s">
        <v>43</v>
      </c>
      <c r="B82" s="14" t="s">
        <v>339</v>
      </c>
      <c r="C82" s="117" t="s">
        <v>692</v>
      </c>
      <c r="D82" s="118"/>
      <c r="E82" s="14" t="s">
        <v>1024</v>
      </c>
      <c r="F82" s="21">
        <v>1</v>
      </c>
      <c r="G82" s="59">
        <v>0</v>
      </c>
      <c r="H82" s="5"/>
    </row>
    <row r="83" spans="1:8" x14ac:dyDescent="0.25">
      <c r="A83" s="4" t="s">
        <v>44</v>
      </c>
      <c r="B83" s="14" t="s">
        <v>340</v>
      </c>
      <c r="C83" s="117" t="s">
        <v>693</v>
      </c>
      <c r="D83" s="118"/>
      <c r="E83" s="14" t="s">
        <v>1024</v>
      </c>
      <c r="F83" s="21">
        <v>1</v>
      </c>
      <c r="G83" s="59">
        <v>0</v>
      </c>
      <c r="H83" s="5"/>
    </row>
    <row r="84" spans="1:8" x14ac:dyDescent="0.25">
      <c r="A84" s="7" t="s">
        <v>45</v>
      </c>
      <c r="B84" s="16" t="s">
        <v>341</v>
      </c>
      <c r="C84" s="123" t="s">
        <v>694</v>
      </c>
      <c r="D84" s="124"/>
      <c r="E84" s="16" t="s">
        <v>1024</v>
      </c>
      <c r="F84" s="23">
        <v>1</v>
      </c>
      <c r="G84" s="60">
        <v>0</v>
      </c>
      <c r="H84" s="5"/>
    </row>
    <row r="85" spans="1:8" x14ac:dyDescent="0.25">
      <c r="A85" s="4" t="s">
        <v>46</v>
      </c>
      <c r="B85" s="14" t="s">
        <v>342</v>
      </c>
      <c r="C85" s="117" t="s">
        <v>695</v>
      </c>
      <c r="D85" s="118"/>
      <c r="E85" s="14" t="s">
        <v>1024</v>
      </c>
      <c r="F85" s="21">
        <v>1</v>
      </c>
      <c r="G85" s="59">
        <v>0</v>
      </c>
      <c r="H85" s="5"/>
    </row>
    <row r="86" spans="1:8" x14ac:dyDescent="0.25">
      <c r="A86" s="7" t="s">
        <v>47</v>
      </c>
      <c r="B86" s="16" t="s">
        <v>343</v>
      </c>
      <c r="C86" s="123" t="s">
        <v>696</v>
      </c>
      <c r="D86" s="124"/>
      <c r="E86" s="16" t="s">
        <v>1024</v>
      </c>
      <c r="F86" s="23">
        <v>1</v>
      </c>
      <c r="G86" s="60">
        <v>0</v>
      </c>
      <c r="H86" s="5"/>
    </row>
    <row r="87" spans="1:8" x14ac:dyDescent="0.25">
      <c r="A87" s="53"/>
      <c r="B87" s="15" t="s">
        <v>344</v>
      </c>
      <c r="C87" s="121" t="s">
        <v>697</v>
      </c>
      <c r="D87" s="122"/>
      <c r="E87" s="15"/>
      <c r="F87" s="43"/>
      <c r="G87" s="33"/>
      <c r="H87" s="5"/>
    </row>
    <row r="88" spans="1:8" x14ac:dyDescent="0.25">
      <c r="A88" s="4" t="s">
        <v>48</v>
      </c>
      <c r="B88" s="14" t="s">
        <v>345</v>
      </c>
      <c r="C88" s="117" t="s">
        <v>698</v>
      </c>
      <c r="D88" s="118"/>
      <c r="E88" s="14" t="s">
        <v>1023</v>
      </c>
      <c r="F88" s="21">
        <v>15</v>
      </c>
      <c r="G88" s="59">
        <v>0</v>
      </c>
      <c r="H88" s="5"/>
    </row>
    <row r="89" spans="1:8" x14ac:dyDescent="0.25">
      <c r="A89" s="4" t="s">
        <v>49</v>
      </c>
      <c r="B89" s="14" t="s">
        <v>346</v>
      </c>
      <c r="C89" s="117" t="s">
        <v>699</v>
      </c>
      <c r="D89" s="118"/>
      <c r="E89" s="14" t="s">
        <v>1026</v>
      </c>
      <c r="F89" s="21">
        <v>12</v>
      </c>
      <c r="G89" s="59">
        <v>0</v>
      </c>
      <c r="H89" s="5"/>
    </row>
    <row r="90" spans="1:8" x14ac:dyDescent="0.25">
      <c r="A90" s="4" t="s">
        <v>50</v>
      </c>
      <c r="B90" s="14" t="s">
        <v>347</v>
      </c>
      <c r="C90" s="117" t="s">
        <v>700</v>
      </c>
      <c r="D90" s="118"/>
      <c r="E90" s="14" t="s">
        <v>1026</v>
      </c>
      <c r="F90" s="21">
        <v>6</v>
      </c>
      <c r="G90" s="59">
        <v>0</v>
      </c>
      <c r="H90" s="5"/>
    </row>
    <row r="91" spans="1:8" x14ac:dyDescent="0.25">
      <c r="A91" s="4" t="s">
        <v>51</v>
      </c>
      <c r="B91" s="14" t="s">
        <v>348</v>
      </c>
      <c r="C91" s="117" t="s">
        <v>701</v>
      </c>
      <c r="D91" s="118"/>
      <c r="E91" s="14" t="s">
        <v>1026</v>
      </c>
      <c r="F91" s="21">
        <v>8</v>
      </c>
      <c r="G91" s="59">
        <v>0</v>
      </c>
      <c r="H91" s="5"/>
    </row>
    <row r="92" spans="1:8" x14ac:dyDescent="0.25">
      <c r="A92" s="4" t="s">
        <v>52</v>
      </c>
      <c r="B92" s="14" t="s">
        <v>349</v>
      </c>
      <c r="C92" s="117" t="s">
        <v>702</v>
      </c>
      <c r="D92" s="118"/>
      <c r="E92" s="14" t="s">
        <v>1026</v>
      </c>
      <c r="F92" s="21">
        <v>18</v>
      </c>
      <c r="G92" s="59">
        <v>0</v>
      </c>
      <c r="H92" s="5"/>
    </row>
    <row r="93" spans="1:8" x14ac:dyDescent="0.25">
      <c r="A93" s="4" t="s">
        <v>53</v>
      </c>
      <c r="B93" s="14" t="s">
        <v>350</v>
      </c>
      <c r="C93" s="117" t="s">
        <v>703</v>
      </c>
      <c r="D93" s="118"/>
      <c r="E93" s="14" t="s">
        <v>1026</v>
      </c>
      <c r="F93" s="21">
        <v>12</v>
      </c>
      <c r="G93" s="59">
        <v>0</v>
      </c>
      <c r="H93" s="5"/>
    </row>
    <row r="94" spans="1:8" x14ac:dyDescent="0.25">
      <c r="A94" s="53"/>
      <c r="B94" s="15" t="s">
        <v>351</v>
      </c>
      <c r="C94" s="121" t="s">
        <v>704</v>
      </c>
      <c r="D94" s="122"/>
      <c r="E94" s="15"/>
      <c r="F94" s="43"/>
      <c r="G94" s="33"/>
      <c r="H94" s="5"/>
    </row>
    <row r="95" spans="1:8" x14ac:dyDescent="0.25">
      <c r="A95" s="4" t="s">
        <v>54</v>
      </c>
      <c r="B95" s="14" t="s">
        <v>352</v>
      </c>
      <c r="C95" s="117" t="s">
        <v>705</v>
      </c>
      <c r="D95" s="118"/>
      <c r="E95" s="14" t="s">
        <v>1026</v>
      </c>
      <c r="F95" s="21">
        <v>17</v>
      </c>
      <c r="G95" s="59">
        <v>0</v>
      </c>
      <c r="H95" s="5"/>
    </row>
    <row r="96" spans="1:8" x14ac:dyDescent="0.25">
      <c r="A96" s="4" t="s">
        <v>55</v>
      </c>
      <c r="B96" s="14" t="s">
        <v>353</v>
      </c>
      <c r="C96" s="117" t="s">
        <v>706</v>
      </c>
      <c r="D96" s="118"/>
      <c r="E96" s="14" t="s">
        <v>1024</v>
      </c>
      <c r="F96" s="21">
        <v>1</v>
      </c>
      <c r="G96" s="59">
        <v>0</v>
      </c>
      <c r="H96" s="5"/>
    </row>
    <row r="97" spans="1:8" x14ac:dyDescent="0.25">
      <c r="A97" s="4" t="s">
        <v>56</v>
      </c>
      <c r="B97" s="14" t="s">
        <v>354</v>
      </c>
      <c r="C97" s="117" t="s">
        <v>707</v>
      </c>
      <c r="D97" s="118"/>
      <c r="E97" s="14" t="s">
        <v>1026</v>
      </c>
      <c r="F97" s="21">
        <v>1</v>
      </c>
      <c r="G97" s="59">
        <v>0</v>
      </c>
      <c r="H97" s="5"/>
    </row>
    <row r="98" spans="1:8" x14ac:dyDescent="0.25">
      <c r="A98" s="4" t="s">
        <v>57</v>
      </c>
      <c r="B98" s="14" t="s">
        <v>355</v>
      </c>
      <c r="C98" s="117" t="s">
        <v>708</v>
      </c>
      <c r="D98" s="118"/>
      <c r="E98" s="14" t="s">
        <v>1026</v>
      </c>
      <c r="F98" s="21">
        <v>10</v>
      </c>
      <c r="G98" s="59">
        <v>0</v>
      </c>
      <c r="H98" s="5"/>
    </row>
    <row r="99" spans="1:8" x14ac:dyDescent="0.25">
      <c r="A99" s="4" t="s">
        <v>58</v>
      </c>
      <c r="B99" s="14" t="s">
        <v>356</v>
      </c>
      <c r="C99" s="117" t="s">
        <v>709</v>
      </c>
      <c r="D99" s="118"/>
      <c r="E99" s="14" t="s">
        <v>1024</v>
      </c>
      <c r="F99" s="21">
        <v>3</v>
      </c>
      <c r="G99" s="59">
        <v>0</v>
      </c>
      <c r="H99" s="5"/>
    </row>
    <row r="100" spans="1:8" x14ac:dyDescent="0.25">
      <c r="A100" s="4" t="s">
        <v>59</v>
      </c>
      <c r="B100" s="14" t="s">
        <v>357</v>
      </c>
      <c r="C100" s="117" t="s">
        <v>710</v>
      </c>
      <c r="D100" s="118"/>
      <c r="E100" s="14" t="s">
        <v>1024</v>
      </c>
      <c r="F100" s="21">
        <v>1</v>
      </c>
      <c r="G100" s="59">
        <v>0</v>
      </c>
      <c r="H100" s="5"/>
    </row>
    <row r="101" spans="1:8" x14ac:dyDescent="0.25">
      <c r="A101" s="4" t="s">
        <v>60</v>
      </c>
      <c r="B101" s="14" t="s">
        <v>358</v>
      </c>
      <c r="C101" s="117" t="s">
        <v>711</v>
      </c>
      <c r="D101" s="118"/>
      <c r="E101" s="14" t="s">
        <v>1024</v>
      </c>
      <c r="F101" s="21">
        <v>3</v>
      </c>
      <c r="G101" s="59">
        <v>0</v>
      </c>
      <c r="H101" s="5"/>
    </row>
    <row r="102" spans="1:8" x14ac:dyDescent="0.25">
      <c r="A102" s="4" t="s">
        <v>61</v>
      </c>
      <c r="B102" s="14" t="s">
        <v>359</v>
      </c>
      <c r="C102" s="117" t="s">
        <v>712</v>
      </c>
      <c r="D102" s="118"/>
      <c r="E102" s="14" t="s">
        <v>1026</v>
      </c>
      <c r="F102" s="21">
        <v>7</v>
      </c>
      <c r="G102" s="59">
        <v>0</v>
      </c>
      <c r="H102" s="5"/>
    </row>
    <row r="103" spans="1:8" x14ac:dyDescent="0.25">
      <c r="A103" s="53"/>
      <c r="B103" s="15" t="s">
        <v>360</v>
      </c>
      <c r="C103" s="121" t="s">
        <v>713</v>
      </c>
      <c r="D103" s="122"/>
      <c r="E103" s="15"/>
      <c r="F103" s="43"/>
      <c r="G103" s="33"/>
      <c r="H103" s="5"/>
    </row>
    <row r="104" spans="1:8" x14ac:dyDescent="0.25">
      <c r="A104" s="4" t="s">
        <v>62</v>
      </c>
      <c r="B104" s="14" t="s">
        <v>361</v>
      </c>
      <c r="C104" s="117" t="s">
        <v>714</v>
      </c>
      <c r="D104" s="118"/>
      <c r="E104" s="14" t="s">
        <v>1024</v>
      </c>
      <c r="F104" s="21">
        <v>1</v>
      </c>
      <c r="G104" s="59">
        <v>0</v>
      </c>
      <c r="H104" s="5"/>
    </row>
    <row r="105" spans="1:8" x14ac:dyDescent="0.25">
      <c r="A105" s="4" t="s">
        <v>63</v>
      </c>
      <c r="B105" s="14" t="s">
        <v>362</v>
      </c>
      <c r="C105" s="117" t="s">
        <v>715</v>
      </c>
      <c r="D105" s="118"/>
      <c r="E105" s="14" t="s">
        <v>1026</v>
      </c>
      <c r="F105" s="21">
        <v>4</v>
      </c>
      <c r="G105" s="59">
        <v>0</v>
      </c>
      <c r="H105" s="5"/>
    </row>
    <row r="106" spans="1:8" x14ac:dyDescent="0.25">
      <c r="A106" s="4" t="s">
        <v>64</v>
      </c>
      <c r="B106" s="14" t="s">
        <v>363</v>
      </c>
      <c r="C106" s="117" t="s">
        <v>716</v>
      </c>
      <c r="D106" s="118"/>
      <c r="E106" s="14" t="s">
        <v>1026</v>
      </c>
      <c r="F106" s="21">
        <v>4</v>
      </c>
      <c r="G106" s="59">
        <v>0</v>
      </c>
      <c r="H106" s="5"/>
    </row>
    <row r="107" spans="1:8" x14ac:dyDescent="0.25">
      <c r="A107" s="4" t="s">
        <v>65</v>
      </c>
      <c r="B107" s="14" t="s">
        <v>364</v>
      </c>
      <c r="C107" s="117" t="s">
        <v>717</v>
      </c>
      <c r="D107" s="118"/>
      <c r="E107" s="14" t="s">
        <v>1024</v>
      </c>
      <c r="F107" s="21">
        <v>1</v>
      </c>
      <c r="G107" s="59">
        <v>0</v>
      </c>
      <c r="H107" s="5"/>
    </row>
    <row r="108" spans="1:8" x14ac:dyDescent="0.25">
      <c r="A108" s="4" t="s">
        <v>66</v>
      </c>
      <c r="B108" s="14" t="s">
        <v>365</v>
      </c>
      <c r="C108" s="117" t="s">
        <v>718</v>
      </c>
      <c r="D108" s="118"/>
      <c r="E108" s="14" t="s">
        <v>1026</v>
      </c>
      <c r="F108" s="21">
        <v>9</v>
      </c>
      <c r="G108" s="59">
        <v>0</v>
      </c>
      <c r="H108" s="5"/>
    </row>
    <row r="109" spans="1:8" x14ac:dyDescent="0.25">
      <c r="A109" s="4" t="s">
        <v>67</v>
      </c>
      <c r="B109" s="14" t="s">
        <v>366</v>
      </c>
      <c r="C109" s="117" t="s">
        <v>719</v>
      </c>
      <c r="D109" s="118"/>
      <c r="E109" s="14" t="s">
        <v>1024</v>
      </c>
      <c r="F109" s="21">
        <v>1</v>
      </c>
      <c r="G109" s="59">
        <v>0</v>
      </c>
      <c r="H109" s="5"/>
    </row>
    <row r="110" spans="1:8" x14ac:dyDescent="0.25">
      <c r="A110" s="4" t="s">
        <v>68</v>
      </c>
      <c r="B110" s="14" t="s">
        <v>367</v>
      </c>
      <c r="C110" s="117" t="s">
        <v>720</v>
      </c>
      <c r="D110" s="118"/>
      <c r="E110" s="14" t="s">
        <v>1024</v>
      </c>
      <c r="F110" s="21">
        <v>1</v>
      </c>
      <c r="G110" s="59">
        <v>0</v>
      </c>
      <c r="H110" s="5"/>
    </row>
    <row r="111" spans="1:8" x14ac:dyDescent="0.25">
      <c r="A111" s="4" t="s">
        <v>69</v>
      </c>
      <c r="B111" s="14" t="s">
        <v>368</v>
      </c>
      <c r="C111" s="117" t="s">
        <v>721</v>
      </c>
      <c r="D111" s="118"/>
      <c r="E111" s="14" t="s">
        <v>1026</v>
      </c>
      <c r="F111" s="21">
        <v>9</v>
      </c>
      <c r="G111" s="59">
        <v>0</v>
      </c>
      <c r="H111" s="5"/>
    </row>
    <row r="112" spans="1:8" x14ac:dyDescent="0.25">
      <c r="A112" s="53"/>
      <c r="B112" s="15" t="s">
        <v>369</v>
      </c>
      <c r="C112" s="121" t="s">
        <v>722</v>
      </c>
      <c r="D112" s="122"/>
      <c r="E112" s="15"/>
      <c r="F112" s="43"/>
      <c r="G112" s="33"/>
      <c r="H112" s="5"/>
    </row>
    <row r="113" spans="1:8" x14ac:dyDescent="0.25">
      <c r="A113" s="4" t="s">
        <v>70</v>
      </c>
      <c r="B113" s="14" t="s">
        <v>370</v>
      </c>
      <c r="C113" s="117" t="s">
        <v>723</v>
      </c>
      <c r="D113" s="118"/>
      <c r="E113" s="14" t="s">
        <v>1026</v>
      </c>
      <c r="F113" s="21">
        <v>1</v>
      </c>
      <c r="G113" s="59">
        <v>0</v>
      </c>
      <c r="H113" s="5"/>
    </row>
    <row r="114" spans="1:8" x14ac:dyDescent="0.25">
      <c r="A114" s="4" t="s">
        <v>71</v>
      </c>
      <c r="B114" s="14" t="s">
        <v>371</v>
      </c>
      <c r="C114" s="117" t="s">
        <v>724</v>
      </c>
      <c r="D114" s="118"/>
      <c r="E114" s="14" t="s">
        <v>1026</v>
      </c>
      <c r="F114" s="21">
        <v>10</v>
      </c>
      <c r="G114" s="59">
        <v>0</v>
      </c>
      <c r="H114" s="5"/>
    </row>
    <row r="115" spans="1:8" x14ac:dyDescent="0.25">
      <c r="A115" s="4" t="s">
        <v>72</v>
      </c>
      <c r="B115" s="14" t="s">
        <v>372</v>
      </c>
      <c r="C115" s="117" t="s">
        <v>725</v>
      </c>
      <c r="D115" s="118"/>
      <c r="E115" s="14" t="s">
        <v>1026</v>
      </c>
      <c r="F115" s="21">
        <v>6</v>
      </c>
      <c r="G115" s="59">
        <v>0</v>
      </c>
      <c r="H115" s="5"/>
    </row>
    <row r="116" spans="1:8" x14ac:dyDescent="0.25">
      <c r="A116" s="4" t="s">
        <v>73</v>
      </c>
      <c r="B116" s="14" t="s">
        <v>373</v>
      </c>
      <c r="C116" s="117" t="s">
        <v>726</v>
      </c>
      <c r="D116" s="118"/>
      <c r="E116" s="14" t="s">
        <v>1026</v>
      </c>
      <c r="F116" s="21">
        <v>1</v>
      </c>
      <c r="G116" s="59">
        <v>0</v>
      </c>
      <c r="H116" s="5"/>
    </row>
    <row r="117" spans="1:8" x14ac:dyDescent="0.25">
      <c r="A117" s="4" t="s">
        <v>74</v>
      </c>
      <c r="B117" s="14" t="s">
        <v>374</v>
      </c>
      <c r="C117" s="117" t="s">
        <v>727</v>
      </c>
      <c r="D117" s="118"/>
      <c r="E117" s="14" t="s">
        <v>1024</v>
      </c>
      <c r="F117" s="21">
        <v>2</v>
      </c>
      <c r="G117" s="59">
        <v>0</v>
      </c>
      <c r="H117" s="5"/>
    </row>
    <row r="118" spans="1:8" x14ac:dyDescent="0.25">
      <c r="A118" s="4" t="s">
        <v>75</v>
      </c>
      <c r="B118" s="14" t="s">
        <v>375</v>
      </c>
      <c r="C118" s="117" t="s">
        <v>728</v>
      </c>
      <c r="D118" s="118"/>
      <c r="E118" s="14" t="s">
        <v>1024</v>
      </c>
      <c r="F118" s="21">
        <v>1</v>
      </c>
      <c r="G118" s="59">
        <v>0</v>
      </c>
      <c r="H118" s="5"/>
    </row>
    <row r="119" spans="1:8" x14ac:dyDescent="0.25">
      <c r="A119" s="4" t="s">
        <v>76</v>
      </c>
      <c r="B119" s="14" t="s">
        <v>376</v>
      </c>
      <c r="C119" s="117" t="s">
        <v>729</v>
      </c>
      <c r="D119" s="118"/>
      <c r="E119" s="14" t="s">
        <v>1024</v>
      </c>
      <c r="F119" s="21">
        <v>3</v>
      </c>
      <c r="G119" s="59">
        <v>0</v>
      </c>
      <c r="H119" s="5"/>
    </row>
    <row r="120" spans="1:8" x14ac:dyDescent="0.25">
      <c r="A120" s="4" t="s">
        <v>77</v>
      </c>
      <c r="B120" s="14" t="s">
        <v>377</v>
      </c>
      <c r="C120" s="117" t="s">
        <v>730</v>
      </c>
      <c r="D120" s="118"/>
      <c r="E120" s="14" t="s">
        <v>1024</v>
      </c>
      <c r="F120" s="21">
        <v>1</v>
      </c>
      <c r="G120" s="59">
        <v>0</v>
      </c>
      <c r="H120" s="5"/>
    </row>
    <row r="121" spans="1:8" x14ac:dyDescent="0.25">
      <c r="A121" s="4" t="s">
        <v>78</v>
      </c>
      <c r="B121" s="14" t="s">
        <v>378</v>
      </c>
      <c r="C121" s="117" t="s">
        <v>731</v>
      </c>
      <c r="D121" s="118"/>
      <c r="E121" s="14" t="s">
        <v>1026</v>
      </c>
      <c r="F121" s="21">
        <v>30</v>
      </c>
      <c r="G121" s="59">
        <v>0</v>
      </c>
      <c r="H121" s="5"/>
    </row>
    <row r="122" spans="1:8" x14ac:dyDescent="0.25">
      <c r="A122" s="4" t="s">
        <v>79</v>
      </c>
      <c r="B122" s="14" t="s">
        <v>379</v>
      </c>
      <c r="C122" s="117" t="s">
        <v>732</v>
      </c>
      <c r="D122" s="118"/>
      <c r="E122" s="14" t="s">
        <v>1024</v>
      </c>
      <c r="F122" s="21">
        <v>1</v>
      </c>
      <c r="G122" s="59">
        <v>0</v>
      </c>
      <c r="H122" s="5"/>
    </row>
    <row r="123" spans="1:8" x14ac:dyDescent="0.25">
      <c r="A123" s="4" t="s">
        <v>80</v>
      </c>
      <c r="B123" s="14" t="s">
        <v>380</v>
      </c>
      <c r="C123" s="117" t="s">
        <v>733</v>
      </c>
      <c r="D123" s="118"/>
      <c r="E123" s="14" t="s">
        <v>1024</v>
      </c>
      <c r="F123" s="21">
        <v>1</v>
      </c>
      <c r="G123" s="59">
        <v>0</v>
      </c>
      <c r="H123" s="5"/>
    </row>
    <row r="124" spans="1:8" x14ac:dyDescent="0.25">
      <c r="A124" s="4" t="s">
        <v>81</v>
      </c>
      <c r="B124" s="14" t="s">
        <v>381</v>
      </c>
      <c r="C124" s="117" t="s">
        <v>734</v>
      </c>
      <c r="D124" s="118"/>
      <c r="E124" s="14" t="s">
        <v>1024</v>
      </c>
      <c r="F124" s="21">
        <v>1</v>
      </c>
      <c r="G124" s="59">
        <v>0</v>
      </c>
      <c r="H124" s="5"/>
    </row>
    <row r="125" spans="1:8" x14ac:dyDescent="0.25">
      <c r="A125" s="4" t="s">
        <v>82</v>
      </c>
      <c r="B125" s="14" t="s">
        <v>382</v>
      </c>
      <c r="C125" s="117" t="s">
        <v>735</v>
      </c>
      <c r="D125" s="118"/>
      <c r="E125" s="14" t="s">
        <v>1024</v>
      </c>
      <c r="F125" s="21">
        <v>2</v>
      </c>
      <c r="G125" s="59">
        <v>0</v>
      </c>
      <c r="H125" s="5"/>
    </row>
    <row r="126" spans="1:8" x14ac:dyDescent="0.25">
      <c r="A126" s="4" t="s">
        <v>83</v>
      </c>
      <c r="B126" s="14" t="s">
        <v>383</v>
      </c>
      <c r="C126" s="117" t="s">
        <v>736</v>
      </c>
      <c r="D126" s="118"/>
      <c r="E126" s="14" t="s">
        <v>1024</v>
      </c>
      <c r="F126" s="21">
        <v>1</v>
      </c>
      <c r="G126" s="59">
        <v>0</v>
      </c>
      <c r="H126" s="5"/>
    </row>
    <row r="127" spans="1:8" ht="12.15" customHeight="1" x14ac:dyDescent="0.25">
      <c r="A127" s="4"/>
      <c r="B127" s="14"/>
      <c r="C127" s="133" t="s">
        <v>737</v>
      </c>
      <c r="D127" s="134"/>
      <c r="E127" s="133"/>
      <c r="F127" s="56">
        <v>0</v>
      </c>
      <c r="G127" s="31"/>
      <c r="H127" s="5"/>
    </row>
    <row r="128" spans="1:8" x14ac:dyDescent="0.25">
      <c r="A128" s="53"/>
      <c r="B128" s="15" t="s">
        <v>384</v>
      </c>
      <c r="C128" s="121" t="s">
        <v>738</v>
      </c>
      <c r="D128" s="122"/>
      <c r="E128" s="15"/>
      <c r="F128" s="43"/>
      <c r="G128" s="33"/>
      <c r="H128" s="5"/>
    </row>
    <row r="129" spans="1:8" x14ac:dyDescent="0.25">
      <c r="A129" s="4" t="s">
        <v>84</v>
      </c>
      <c r="B129" s="14" t="s">
        <v>385</v>
      </c>
      <c r="C129" s="117" t="s">
        <v>739</v>
      </c>
      <c r="D129" s="118"/>
      <c r="E129" s="14" t="s">
        <v>1024</v>
      </c>
      <c r="F129" s="21">
        <v>2</v>
      </c>
      <c r="G129" s="59">
        <v>0</v>
      </c>
      <c r="H129" s="5"/>
    </row>
    <row r="130" spans="1:8" x14ac:dyDescent="0.25">
      <c r="A130" s="4" t="s">
        <v>85</v>
      </c>
      <c r="B130" s="14" t="s">
        <v>386</v>
      </c>
      <c r="C130" s="117" t="s">
        <v>740</v>
      </c>
      <c r="D130" s="118"/>
      <c r="E130" s="14" t="s">
        <v>1024</v>
      </c>
      <c r="F130" s="21">
        <v>1</v>
      </c>
      <c r="G130" s="59">
        <v>0</v>
      </c>
      <c r="H130" s="5"/>
    </row>
    <row r="131" spans="1:8" x14ac:dyDescent="0.25">
      <c r="A131" s="4" t="s">
        <v>86</v>
      </c>
      <c r="B131" s="14" t="s">
        <v>387</v>
      </c>
      <c r="C131" s="117" t="s">
        <v>741</v>
      </c>
      <c r="D131" s="118"/>
      <c r="E131" s="14" t="s">
        <v>1024</v>
      </c>
      <c r="F131" s="21">
        <v>1</v>
      </c>
      <c r="G131" s="59">
        <v>0</v>
      </c>
      <c r="H131" s="5"/>
    </row>
    <row r="132" spans="1:8" x14ac:dyDescent="0.25">
      <c r="A132" s="4" t="s">
        <v>87</v>
      </c>
      <c r="B132" s="14" t="s">
        <v>388</v>
      </c>
      <c r="C132" s="117" t="s">
        <v>742</v>
      </c>
      <c r="D132" s="118"/>
      <c r="E132" s="14" t="s">
        <v>1025</v>
      </c>
      <c r="F132" s="21">
        <v>2</v>
      </c>
      <c r="G132" s="59">
        <v>0</v>
      </c>
      <c r="H132" s="5"/>
    </row>
    <row r="133" spans="1:8" x14ac:dyDescent="0.25">
      <c r="A133" s="7" t="s">
        <v>88</v>
      </c>
      <c r="B133" s="16" t="s">
        <v>389</v>
      </c>
      <c r="C133" s="123" t="s">
        <v>743</v>
      </c>
      <c r="D133" s="124"/>
      <c r="E133" s="16" t="s">
        <v>1025</v>
      </c>
      <c r="F133" s="23">
        <v>2</v>
      </c>
      <c r="G133" s="60">
        <v>0</v>
      </c>
      <c r="H133" s="5"/>
    </row>
    <row r="134" spans="1:8" x14ac:dyDescent="0.25">
      <c r="A134" s="4" t="s">
        <v>89</v>
      </c>
      <c r="B134" s="14" t="s">
        <v>390</v>
      </c>
      <c r="C134" s="117" t="s">
        <v>744</v>
      </c>
      <c r="D134" s="118"/>
      <c r="E134" s="14" t="s">
        <v>1024</v>
      </c>
      <c r="F134" s="21">
        <v>2</v>
      </c>
      <c r="G134" s="59">
        <v>0</v>
      </c>
      <c r="H134" s="5"/>
    </row>
    <row r="135" spans="1:8" ht="12.15" customHeight="1" x14ac:dyDescent="0.25">
      <c r="A135" s="4"/>
      <c r="B135" s="14"/>
      <c r="C135" s="133" t="s">
        <v>745</v>
      </c>
      <c r="D135" s="134"/>
      <c r="E135" s="133"/>
      <c r="F135" s="56">
        <v>2</v>
      </c>
      <c r="G135" s="31"/>
      <c r="H135" s="5"/>
    </row>
    <row r="136" spans="1:8" x14ac:dyDescent="0.25">
      <c r="A136" s="7" t="s">
        <v>90</v>
      </c>
      <c r="B136" s="16" t="s">
        <v>391</v>
      </c>
      <c r="C136" s="123" t="s">
        <v>746</v>
      </c>
      <c r="D136" s="124"/>
      <c r="E136" s="16" t="s">
        <v>1025</v>
      </c>
      <c r="F136" s="23">
        <v>1</v>
      </c>
      <c r="G136" s="60">
        <v>0</v>
      </c>
      <c r="H136" s="5"/>
    </row>
    <row r="137" spans="1:8" x14ac:dyDescent="0.25">
      <c r="A137" s="7" t="s">
        <v>91</v>
      </c>
      <c r="B137" s="16" t="s">
        <v>391</v>
      </c>
      <c r="C137" s="123" t="s">
        <v>747</v>
      </c>
      <c r="D137" s="124"/>
      <c r="E137" s="16" t="s">
        <v>1024</v>
      </c>
      <c r="F137" s="23">
        <v>2</v>
      </c>
      <c r="G137" s="60">
        <v>0</v>
      </c>
      <c r="H137" s="5"/>
    </row>
    <row r="138" spans="1:8" x14ac:dyDescent="0.25">
      <c r="A138" s="7" t="s">
        <v>92</v>
      </c>
      <c r="B138" s="16" t="s">
        <v>392</v>
      </c>
      <c r="C138" s="123" t="s">
        <v>748</v>
      </c>
      <c r="D138" s="124"/>
      <c r="E138" s="16" t="s">
        <v>1025</v>
      </c>
      <c r="F138" s="23">
        <v>1</v>
      </c>
      <c r="G138" s="60">
        <v>0</v>
      </c>
      <c r="H138" s="5"/>
    </row>
    <row r="139" spans="1:8" x14ac:dyDescent="0.25">
      <c r="A139" s="7" t="s">
        <v>93</v>
      </c>
      <c r="B139" s="16" t="s">
        <v>391</v>
      </c>
      <c r="C139" s="123" t="s">
        <v>749</v>
      </c>
      <c r="D139" s="124"/>
      <c r="E139" s="16" t="s">
        <v>1025</v>
      </c>
      <c r="F139" s="23">
        <v>1</v>
      </c>
      <c r="G139" s="60">
        <v>0</v>
      </c>
      <c r="H139" s="5"/>
    </row>
    <row r="140" spans="1:8" x14ac:dyDescent="0.25">
      <c r="A140" s="7" t="s">
        <v>94</v>
      </c>
      <c r="B140" s="16" t="s">
        <v>393</v>
      </c>
      <c r="C140" s="123" t="s">
        <v>750</v>
      </c>
      <c r="D140" s="124"/>
      <c r="E140" s="16" t="s">
        <v>1025</v>
      </c>
      <c r="F140" s="23">
        <v>2</v>
      </c>
      <c r="G140" s="60">
        <v>0</v>
      </c>
      <c r="H140" s="5"/>
    </row>
    <row r="141" spans="1:8" x14ac:dyDescent="0.25">
      <c r="A141" s="4" t="s">
        <v>95</v>
      </c>
      <c r="B141" s="14" t="s">
        <v>394</v>
      </c>
      <c r="C141" s="117" t="s">
        <v>751</v>
      </c>
      <c r="D141" s="118"/>
      <c r="E141" s="14" t="s">
        <v>1024</v>
      </c>
      <c r="F141" s="21">
        <v>2</v>
      </c>
      <c r="G141" s="59">
        <v>0</v>
      </c>
      <c r="H141" s="5"/>
    </row>
    <row r="142" spans="1:8" x14ac:dyDescent="0.25">
      <c r="A142" s="7" t="s">
        <v>96</v>
      </c>
      <c r="B142" s="16" t="s">
        <v>395</v>
      </c>
      <c r="C142" s="123" t="s">
        <v>752</v>
      </c>
      <c r="D142" s="124"/>
      <c r="E142" s="16" t="s">
        <v>1024</v>
      </c>
      <c r="F142" s="23">
        <v>2</v>
      </c>
      <c r="G142" s="60">
        <v>0</v>
      </c>
      <c r="H142" s="5"/>
    </row>
    <row r="143" spans="1:8" x14ac:dyDescent="0.25">
      <c r="A143" s="7" t="s">
        <v>97</v>
      </c>
      <c r="B143" s="16" t="s">
        <v>395</v>
      </c>
      <c r="C143" s="123" t="s">
        <v>753</v>
      </c>
      <c r="D143" s="124"/>
      <c r="E143" s="16" t="s">
        <v>1024</v>
      </c>
      <c r="F143" s="23">
        <v>2</v>
      </c>
      <c r="G143" s="60">
        <v>0</v>
      </c>
      <c r="H143" s="5"/>
    </row>
    <row r="144" spans="1:8" x14ac:dyDescent="0.25">
      <c r="A144" s="7" t="s">
        <v>98</v>
      </c>
      <c r="B144" s="16" t="s">
        <v>396</v>
      </c>
      <c r="C144" s="123" t="s">
        <v>754</v>
      </c>
      <c r="D144" s="124"/>
      <c r="E144" s="16" t="s">
        <v>1024</v>
      </c>
      <c r="F144" s="23">
        <v>20</v>
      </c>
      <c r="G144" s="60">
        <v>0</v>
      </c>
      <c r="H144" s="5"/>
    </row>
    <row r="145" spans="1:8" x14ac:dyDescent="0.25">
      <c r="A145" s="7" t="s">
        <v>99</v>
      </c>
      <c r="B145" s="16" t="s">
        <v>397</v>
      </c>
      <c r="C145" s="123" t="s">
        <v>755</v>
      </c>
      <c r="D145" s="124"/>
      <c r="E145" s="16" t="s">
        <v>1024</v>
      </c>
      <c r="F145" s="23">
        <v>1</v>
      </c>
      <c r="G145" s="60">
        <v>0</v>
      </c>
      <c r="H145" s="5"/>
    </row>
    <row r="146" spans="1:8" x14ac:dyDescent="0.25">
      <c r="A146" s="7" t="s">
        <v>100</v>
      </c>
      <c r="B146" s="16" t="s">
        <v>398</v>
      </c>
      <c r="C146" s="123" t="s">
        <v>756</v>
      </c>
      <c r="D146" s="124"/>
      <c r="E146" s="16" t="s">
        <v>1024</v>
      </c>
      <c r="F146" s="23">
        <v>4</v>
      </c>
      <c r="G146" s="60">
        <v>0</v>
      </c>
      <c r="H146" s="5"/>
    </row>
    <row r="147" spans="1:8" x14ac:dyDescent="0.25">
      <c r="A147" s="7" t="s">
        <v>101</v>
      </c>
      <c r="B147" s="16" t="s">
        <v>399</v>
      </c>
      <c r="C147" s="123" t="s">
        <v>757</v>
      </c>
      <c r="D147" s="124"/>
      <c r="E147" s="16" t="s">
        <v>1024</v>
      </c>
      <c r="F147" s="23">
        <v>1</v>
      </c>
      <c r="G147" s="60">
        <v>0</v>
      </c>
      <c r="H147" s="5"/>
    </row>
    <row r="148" spans="1:8" x14ac:dyDescent="0.25">
      <c r="A148" s="7" t="s">
        <v>102</v>
      </c>
      <c r="B148" s="16" t="s">
        <v>400</v>
      </c>
      <c r="C148" s="123" t="s">
        <v>758</v>
      </c>
      <c r="D148" s="124"/>
      <c r="E148" s="16" t="s">
        <v>1024</v>
      </c>
      <c r="F148" s="23">
        <v>2</v>
      </c>
      <c r="G148" s="60">
        <v>0</v>
      </c>
      <c r="H148" s="5"/>
    </row>
    <row r="149" spans="1:8" x14ac:dyDescent="0.25">
      <c r="A149" s="7" t="s">
        <v>103</v>
      </c>
      <c r="B149" s="16" t="s">
        <v>401</v>
      </c>
      <c r="C149" s="123" t="s">
        <v>759</v>
      </c>
      <c r="D149" s="124"/>
      <c r="E149" s="16" t="s">
        <v>1024</v>
      </c>
      <c r="F149" s="23">
        <v>2</v>
      </c>
      <c r="G149" s="60">
        <v>0</v>
      </c>
      <c r="H149" s="5"/>
    </row>
    <row r="150" spans="1:8" x14ac:dyDescent="0.25">
      <c r="A150" s="7" t="s">
        <v>104</v>
      </c>
      <c r="B150" s="16" t="s">
        <v>397</v>
      </c>
      <c r="C150" s="123" t="s">
        <v>760</v>
      </c>
      <c r="D150" s="124"/>
      <c r="E150" s="16" t="s">
        <v>1024</v>
      </c>
      <c r="F150" s="23">
        <v>2</v>
      </c>
      <c r="G150" s="60">
        <v>0</v>
      </c>
      <c r="H150" s="5"/>
    </row>
    <row r="151" spans="1:8" x14ac:dyDescent="0.25">
      <c r="A151" s="7" t="s">
        <v>105</v>
      </c>
      <c r="B151" s="16" t="s">
        <v>402</v>
      </c>
      <c r="C151" s="123" t="s">
        <v>761</v>
      </c>
      <c r="D151" s="124"/>
      <c r="E151" s="16" t="s">
        <v>1024</v>
      </c>
      <c r="F151" s="23">
        <v>2</v>
      </c>
      <c r="G151" s="60">
        <v>0</v>
      </c>
      <c r="H151" s="5"/>
    </row>
    <row r="152" spans="1:8" x14ac:dyDescent="0.25">
      <c r="A152" s="7" t="s">
        <v>106</v>
      </c>
      <c r="B152" s="16" t="s">
        <v>403</v>
      </c>
      <c r="C152" s="123" t="s">
        <v>762</v>
      </c>
      <c r="D152" s="124"/>
      <c r="E152" s="16" t="s">
        <v>1024</v>
      </c>
      <c r="F152" s="23">
        <v>2</v>
      </c>
      <c r="G152" s="60">
        <v>0</v>
      </c>
      <c r="H152" s="5"/>
    </row>
    <row r="153" spans="1:8" x14ac:dyDescent="0.25">
      <c r="A153" s="4" t="s">
        <v>107</v>
      </c>
      <c r="B153" s="14" t="s">
        <v>404</v>
      </c>
      <c r="C153" s="117" t="s">
        <v>763</v>
      </c>
      <c r="D153" s="118"/>
      <c r="E153" s="14" t="s">
        <v>1024</v>
      </c>
      <c r="F153" s="21">
        <v>1</v>
      </c>
      <c r="G153" s="59">
        <v>0</v>
      </c>
      <c r="H153" s="5"/>
    </row>
    <row r="154" spans="1:8" x14ac:dyDescent="0.25">
      <c r="A154" s="7" t="s">
        <v>108</v>
      </c>
      <c r="B154" s="16" t="s">
        <v>405</v>
      </c>
      <c r="C154" s="123" t="s">
        <v>764</v>
      </c>
      <c r="D154" s="124"/>
      <c r="E154" s="16" t="s">
        <v>1024</v>
      </c>
      <c r="F154" s="23">
        <v>1</v>
      </c>
      <c r="G154" s="60">
        <v>0</v>
      </c>
      <c r="H154" s="5"/>
    </row>
    <row r="155" spans="1:8" x14ac:dyDescent="0.25">
      <c r="A155" s="7" t="s">
        <v>109</v>
      </c>
      <c r="B155" s="16" t="s">
        <v>406</v>
      </c>
      <c r="C155" s="123" t="s">
        <v>765</v>
      </c>
      <c r="D155" s="124"/>
      <c r="E155" s="16" t="s">
        <v>1024</v>
      </c>
      <c r="F155" s="23">
        <v>1</v>
      </c>
      <c r="G155" s="60">
        <v>0</v>
      </c>
      <c r="H155" s="5"/>
    </row>
    <row r="156" spans="1:8" x14ac:dyDescent="0.25">
      <c r="A156" s="4" t="s">
        <v>110</v>
      </c>
      <c r="B156" s="14" t="s">
        <v>407</v>
      </c>
      <c r="C156" s="117" t="s">
        <v>766</v>
      </c>
      <c r="D156" s="118"/>
      <c r="E156" s="14" t="s">
        <v>1024</v>
      </c>
      <c r="F156" s="21">
        <v>1</v>
      </c>
      <c r="G156" s="59">
        <v>0</v>
      </c>
      <c r="H156" s="5"/>
    </row>
    <row r="157" spans="1:8" x14ac:dyDescent="0.25">
      <c r="A157" s="53"/>
      <c r="B157" s="15" t="s">
        <v>408</v>
      </c>
      <c r="C157" s="121" t="s">
        <v>767</v>
      </c>
      <c r="D157" s="122"/>
      <c r="E157" s="15"/>
      <c r="F157" s="43"/>
      <c r="G157" s="33"/>
      <c r="H157" s="5"/>
    </row>
    <row r="158" spans="1:8" x14ac:dyDescent="0.25">
      <c r="A158" s="4" t="s">
        <v>111</v>
      </c>
      <c r="B158" s="14" t="s">
        <v>409</v>
      </c>
      <c r="C158" s="117" t="s">
        <v>768</v>
      </c>
      <c r="D158" s="118"/>
      <c r="E158" s="14" t="s">
        <v>1024</v>
      </c>
      <c r="F158" s="21">
        <v>1</v>
      </c>
      <c r="G158" s="59">
        <v>0</v>
      </c>
      <c r="H158" s="5"/>
    </row>
    <row r="159" spans="1:8" x14ac:dyDescent="0.25">
      <c r="A159" s="4" t="s">
        <v>112</v>
      </c>
      <c r="B159" s="14" t="s">
        <v>410</v>
      </c>
      <c r="C159" s="117" t="s">
        <v>769</v>
      </c>
      <c r="D159" s="118"/>
      <c r="E159" s="14" t="s">
        <v>1024</v>
      </c>
      <c r="F159" s="21">
        <v>1</v>
      </c>
      <c r="G159" s="59">
        <v>0</v>
      </c>
      <c r="H159" s="5"/>
    </row>
    <row r="160" spans="1:8" x14ac:dyDescent="0.25">
      <c r="A160" s="4" t="s">
        <v>113</v>
      </c>
      <c r="B160" s="14" t="s">
        <v>411</v>
      </c>
      <c r="C160" s="117" t="s">
        <v>770</v>
      </c>
      <c r="D160" s="118"/>
      <c r="E160" s="14" t="s">
        <v>1024</v>
      </c>
      <c r="F160" s="21">
        <v>1</v>
      </c>
      <c r="G160" s="59">
        <v>0</v>
      </c>
      <c r="H160" s="5"/>
    </row>
    <row r="161" spans="1:8" x14ac:dyDescent="0.25">
      <c r="A161" s="4" t="s">
        <v>114</v>
      </c>
      <c r="B161" s="14" t="s">
        <v>412</v>
      </c>
      <c r="C161" s="117" t="s">
        <v>771</v>
      </c>
      <c r="D161" s="118"/>
      <c r="E161" s="14" t="s">
        <v>1024</v>
      </c>
      <c r="F161" s="21">
        <v>1</v>
      </c>
      <c r="G161" s="59">
        <v>0</v>
      </c>
      <c r="H161" s="5"/>
    </row>
    <row r="162" spans="1:8" x14ac:dyDescent="0.25">
      <c r="A162" s="4" t="s">
        <v>115</v>
      </c>
      <c r="B162" s="14" t="s">
        <v>413</v>
      </c>
      <c r="C162" s="117" t="s">
        <v>772</v>
      </c>
      <c r="D162" s="118"/>
      <c r="E162" s="14" t="s">
        <v>1024</v>
      </c>
      <c r="F162" s="21">
        <v>1</v>
      </c>
      <c r="G162" s="59">
        <v>0</v>
      </c>
      <c r="H162" s="5"/>
    </row>
    <row r="163" spans="1:8" ht="12.15" customHeight="1" x14ac:dyDescent="0.25">
      <c r="A163" s="4"/>
      <c r="B163" s="14"/>
      <c r="C163" s="133" t="s">
        <v>773</v>
      </c>
      <c r="D163" s="134"/>
      <c r="E163" s="133"/>
      <c r="F163" s="56">
        <v>1</v>
      </c>
      <c r="G163" s="31"/>
      <c r="H163" s="5"/>
    </row>
    <row r="164" spans="1:8" x14ac:dyDescent="0.25">
      <c r="A164" s="4" t="s">
        <v>116</v>
      </c>
      <c r="B164" s="14" t="s">
        <v>414</v>
      </c>
      <c r="C164" s="117" t="s">
        <v>774</v>
      </c>
      <c r="D164" s="118"/>
      <c r="E164" s="14" t="s">
        <v>1024</v>
      </c>
      <c r="F164" s="21">
        <v>2</v>
      </c>
      <c r="G164" s="59">
        <v>0</v>
      </c>
      <c r="H164" s="5"/>
    </row>
    <row r="165" spans="1:8" x14ac:dyDescent="0.25">
      <c r="A165" s="4" t="s">
        <v>117</v>
      </c>
      <c r="B165" s="14" t="s">
        <v>415</v>
      </c>
      <c r="C165" s="117" t="s">
        <v>775</v>
      </c>
      <c r="D165" s="118"/>
      <c r="E165" s="14" t="s">
        <v>1024</v>
      </c>
      <c r="F165" s="21">
        <v>2</v>
      </c>
      <c r="G165" s="59">
        <v>0</v>
      </c>
      <c r="H165" s="5"/>
    </row>
    <row r="166" spans="1:8" x14ac:dyDescent="0.25">
      <c r="A166" s="4" t="s">
        <v>118</v>
      </c>
      <c r="B166" s="14" t="s">
        <v>416</v>
      </c>
      <c r="C166" s="117" t="s">
        <v>776</v>
      </c>
      <c r="D166" s="118"/>
      <c r="E166" s="14" t="s">
        <v>1024</v>
      </c>
      <c r="F166" s="21">
        <v>1</v>
      </c>
      <c r="G166" s="59">
        <v>0</v>
      </c>
      <c r="H166" s="5"/>
    </row>
    <row r="167" spans="1:8" ht="12.15" customHeight="1" x14ac:dyDescent="0.25">
      <c r="A167" s="4"/>
      <c r="B167" s="14"/>
      <c r="C167" s="133" t="s">
        <v>777</v>
      </c>
      <c r="D167" s="134"/>
      <c r="E167" s="133"/>
      <c r="F167" s="56">
        <v>1</v>
      </c>
      <c r="G167" s="31"/>
      <c r="H167" s="5"/>
    </row>
    <row r="168" spans="1:8" x14ac:dyDescent="0.25">
      <c r="A168" s="4" t="s">
        <v>119</v>
      </c>
      <c r="B168" s="14" t="s">
        <v>417</v>
      </c>
      <c r="C168" s="117" t="s">
        <v>778</v>
      </c>
      <c r="D168" s="118"/>
      <c r="E168" s="14" t="s">
        <v>1024</v>
      </c>
      <c r="F168" s="21">
        <v>1</v>
      </c>
      <c r="G168" s="59">
        <v>0</v>
      </c>
      <c r="H168" s="5"/>
    </row>
    <row r="169" spans="1:8" x14ac:dyDescent="0.25">
      <c r="A169" s="4" t="s">
        <v>120</v>
      </c>
      <c r="B169" s="14" t="s">
        <v>418</v>
      </c>
      <c r="C169" s="117" t="s">
        <v>779</v>
      </c>
      <c r="D169" s="118"/>
      <c r="E169" s="14" t="s">
        <v>1024</v>
      </c>
      <c r="F169" s="21">
        <v>1</v>
      </c>
      <c r="G169" s="59">
        <v>0</v>
      </c>
      <c r="H169" s="5"/>
    </row>
    <row r="170" spans="1:8" x14ac:dyDescent="0.25">
      <c r="A170" s="4" t="s">
        <v>121</v>
      </c>
      <c r="B170" s="14" t="s">
        <v>419</v>
      </c>
      <c r="C170" s="117" t="s">
        <v>780</v>
      </c>
      <c r="D170" s="118"/>
      <c r="E170" s="14" t="s">
        <v>1024</v>
      </c>
      <c r="F170" s="21">
        <v>1</v>
      </c>
      <c r="G170" s="59">
        <v>0</v>
      </c>
      <c r="H170" s="5"/>
    </row>
    <row r="171" spans="1:8" x14ac:dyDescent="0.25">
      <c r="A171" s="4" t="s">
        <v>122</v>
      </c>
      <c r="B171" s="14" t="s">
        <v>420</v>
      </c>
      <c r="C171" s="117" t="s">
        <v>781</v>
      </c>
      <c r="D171" s="118"/>
      <c r="E171" s="14" t="s">
        <v>1024</v>
      </c>
      <c r="F171" s="21">
        <v>1</v>
      </c>
      <c r="G171" s="59">
        <v>0</v>
      </c>
      <c r="H171" s="5"/>
    </row>
    <row r="172" spans="1:8" ht="12.15" customHeight="1" x14ac:dyDescent="0.25">
      <c r="A172" s="4"/>
      <c r="B172" s="14"/>
      <c r="C172" s="133" t="s">
        <v>782</v>
      </c>
      <c r="D172" s="134"/>
      <c r="E172" s="133"/>
      <c r="F172" s="56">
        <v>1</v>
      </c>
      <c r="G172" s="31"/>
      <c r="H172" s="5"/>
    </row>
    <row r="173" spans="1:8" x14ac:dyDescent="0.25">
      <c r="A173" s="7" t="s">
        <v>123</v>
      </c>
      <c r="B173" s="16" t="s">
        <v>421</v>
      </c>
      <c r="C173" s="123" t="s">
        <v>783</v>
      </c>
      <c r="D173" s="124"/>
      <c r="E173" s="16" t="s">
        <v>1024</v>
      </c>
      <c r="F173" s="23">
        <v>1</v>
      </c>
      <c r="G173" s="60">
        <v>0</v>
      </c>
      <c r="H173" s="5"/>
    </row>
    <row r="174" spans="1:8" x14ac:dyDescent="0.25">
      <c r="A174" s="4" t="s">
        <v>124</v>
      </c>
      <c r="B174" s="14" t="s">
        <v>412</v>
      </c>
      <c r="C174" s="117" t="s">
        <v>784</v>
      </c>
      <c r="D174" s="118"/>
      <c r="E174" s="14" t="s">
        <v>1024</v>
      </c>
      <c r="F174" s="21">
        <v>1</v>
      </c>
      <c r="G174" s="59">
        <v>0</v>
      </c>
      <c r="H174" s="5"/>
    </row>
    <row r="175" spans="1:8" x14ac:dyDescent="0.25">
      <c r="A175" s="4" t="s">
        <v>125</v>
      </c>
      <c r="B175" s="14" t="s">
        <v>422</v>
      </c>
      <c r="C175" s="117" t="s">
        <v>785</v>
      </c>
      <c r="D175" s="118"/>
      <c r="E175" s="14" t="s">
        <v>1024</v>
      </c>
      <c r="F175" s="21">
        <v>1</v>
      </c>
      <c r="G175" s="59">
        <v>0</v>
      </c>
      <c r="H175" s="5"/>
    </row>
    <row r="176" spans="1:8" x14ac:dyDescent="0.25">
      <c r="A176" s="4" t="s">
        <v>126</v>
      </c>
      <c r="B176" s="14" t="s">
        <v>423</v>
      </c>
      <c r="C176" s="117" t="s">
        <v>786</v>
      </c>
      <c r="D176" s="118"/>
      <c r="E176" s="14" t="s">
        <v>1024</v>
      </c>
      <c r="F176" s="21">
        <v>2</v>
      </c>
      <c r="G176" s="59">
        <v>0</v>
      </c>
      <c r="H176" s="5"/>
    </row>
    <row r="177" spans="1:8" x14ac:dyDescent="0.25">
      <c r="A177" s="4" t="s">
        <v>127</v>
      </c>
      <c r="B177" s="14" t="s">
        <v>424</v>
      </c>
      <c r="C177" s="117" t="s">
        <v>787</v>
      </c>
      <c r="D177" s="118"/>
      <c r="E177" s="14" t="s">
        <v>1024</v>
      </c>
      <c r="F177" s="21">
        <v>1</v>
      </c>
      <c r="G177" s="59">
        <v>0</v>
      </c>
      <c r="H177" s="5"/>
    </row>
    <row r="178" spans="1:8" x14ac:dyDescent="0.25">
      <c r="A178" s="4" t="s">
        <v>128</v>
      </c>
      <c r="B178" s="14" t="s">
        <v>424</v>
      </c>
      <c r="C178" s="117" t="s">
        <v>788</v>
      </c>
      <c r="D178" s="118"/>
      <c r="E178" s="14" t="s">
        <v>1024</v>
      </c>
      <c r="F178" s="21">
        <v>1</v>
      </c>
      <c r="G178" s="59">
        <v>0</v>
      </c>
      <c r="H178" s="5"/>
    </row>
    <row r="179" spans="1:8" x14ac:dyDescent="0.25">
      <c r="A179" s="53"/>
      <c r="B179" s="15" t="s">
        <v>425</v>
      </c>
      <c r="C179" s="121" t="s">
        <v>789</v>
      </c>
      <c r="D179" s="122"/>
      <c r="E179" s="15"/>
      <c r="F179" s="43"/>
      <c r="G179" s="33"/>
      <c r="H179" s="5"/>
    </row>
    <row r="180" spans="1:8" x14ac:dyDescent="0.25">
      <c r="A180" s="4" t="s">
        <v>129</v>
      </c>
      <c r="B180" s="14" t="s">
        <v>426</v>
      </c>
      <c r="C180" s="117" t="s">
        <v>790</v>
      </c>
      <c r="D180" s="118"/>
      <c r="E180" s="14" t="s">
        <v>1026</v>
      </c>
      <c r="F180" s="21">
        <v>10</v>
      </c>
      <c r="G180" s="59">
        <v>0</v>
      </c>
      <c r="H180" s="5"/>
    </row>
    <row r="181" spans="1:8" x14ac:dyDescent="0.25">
      <c r="A181" s="4" t="s">
        <v>130</v>
      </c>
      <c r="B181" s="14" t="s">
        <v>427</v>
      </c>
      <c r="C181" s="117" t="s">
        <v>791</v>
      </c>
      <c r="D181" s="118"/>
      <c r="E181" s="14" t="s">
        <v>1026</v>
      </c>
      <c r="F181" s="21">
        <v>10</v>
      </c>
      <c r="G181" s="59">
        <v>0</v>
      </c>
      <c r="H181" s="5"/>
    </row>
    <row r="182" spans="1:8" x14ac:dyDescent="0.25">
      <c r="A182" s="4" t="s">
        <v>131</v>
      </c>
      <c r="B182" s="14" t="s">
        <v>428</v>
      </c>
      <c r="C182" s="117" t="s">
        <v>792</v>
      </c>
      <c r="D182" s="118"/>
      <c r="E182" s="14" t="s">
        <v>1026</v>
      </c>
      <c r="F182" s="21">
        <v>12</v>
      </c>
      <c r="G182" s="59">
        <v>0</v>
      </c>
      <c r="H182" s="5"/>
    </row>
    <row r="183" spans="1:8" x14ac:dyDescent="0.25">
      <c r="A183" s="4" t="s">
        <v>132</v>
      </c>
      <c r="B183" s="14" t="s">
        <v>429</v>
      </c>
      <c r="C183" s="117" t="s">
        <v>793</v>
      </c>
      <c r="D183" s="118"/>
      <c r="E183" s="14" t="s">
        <v>1026</v>
      </c>
      <c r="F183" s="21">
        <v>18</v>
      </c>
      <c r="G183" s="59">
        <v>0</v>
      </c>
      <c r="H183" s="5"/>
    </row>
    <row r="184" spans="1:8" x14ac:dyDescent="0.25">
      <c r="A184" s="4" t="s">
        <v>133</v>
      </c>
      <c r="B184" s="14" t="s">
        <v>430</v>
      </c>
      <c r="C184" s="117" t="s">
        <v>794</v>
      </c>
      <c r="D184" s="118"/>
      <c r="E184" s="14" t="s">
        <v>1026</v>
      </c>
      <c r="F184" s="21">
        <v>8</v>
      </c>
      <c r="G184" s="59">
        <v>0</v>
      </c>
      <c r="H184" s="5"/>
    </row>
    <row r="185" spans="1:8" x14ac:dyDescent="0.25">
      <c r="A185" s="4" t="s">
        <v>134</v>
      </c>
      <c r="B185" s="14" t="s">
        <v>431</v>
      </c>
      <c r="C185" s="117" t="s">
        <v>795</v>
      </c>
      <c r="D185" s="118"/>
      <c r="E185" s="14" t="s">
        <v>1026</v>
      </c>
      <c r="F185" s="21">
        <v>12</v>
      </c>
      <c r="G185" s="59">
        <v>0</v>
      </c>
      <c r="H185" s="5"/>
    </row>
    <row r="186" spans="1:8" x14ac:dyDescent="0.25">
      <c r="A186" s="4" t="s">
        <v>135</v>
      </c>
      <c r="B186" s="14" t="s">
        <v>432</v>
      </c>
      <c r="C186" s="117" t="s">
        <v>796</v>
      </c>
      <c r="D186" s="118"/>
      <c r="E186" s="14" t="s">
        <v>1026</v>
      </c>
      <c r="F186" s="21">
        <v>1</v>
      </c>
      <c r="G186" s="59">
        <v>0</v>
      </c>
      <c r="H186" s="5"/>
    </row>
    <row r="187" spans="1:8" x14ac:dyDescent="0.25">
      <c r="A187" s="4" t="s">
        <v>136</v>
      </c>
      <c r="B187" s="14" t="s">
        <v>433</v>
      </c>
      <c r="C187" s="117" t="s">
        <v>797</v>
      </c>
      <c r="D187" s="118"/>
      <c r="E187" s="14" t="s">
        <v>1026</v>
      </c>
      <c r="F187" s="21">
        <v>3</v>
      </c>
      <c r="G187" s="59">
        <v>0</v>
      </c>
      <c r="H187" s="5"/>
    </row>
    <row r="188" spans="1:8" x14ac:dyDescent="0.25">
      <c r="A188" s="53"/>
      <c r="B188" s="15" t="s">
        <v>434</v>
      </c>
      <c r="C188" s="121" t="s">
        <v>798</v>
      </c>
      <c r="D188" s="122"/>
      <c r="E188" s="15"/>
      <c r="F188" s="43"/>
      <c r="G188" s="33"/>
      <c r="H188" s="5"/>
    </row>
    <row r="189" spans="1:8" x14ac:dyDescent="0.25">
      <c r="A189" s="4" t="s">
        <v>137</v>
      </c>
      <c r="B189" s="14" t="s">
        <v>435</v>
      </c>
      <c r="C189" s="117" t="s">
        <v>799</v>
      </c>
      <c r="D189" s="118"/>
      <c r="E189" s="14" t="s">
        <v>1024</v>
      </c>
      <c r="F189" s="21">
        <v>2</v>
      </c>
      <c r="G189" s="59">
        <v>0</v>
      </c>
      <c r="H189" s="5"/>
    </row>
    <row r="190" spans="1:8" x14ac:dyDescent="0.25">
      <c r="A190" s="4" t="s">
        <v>138</v>
      </c>
      <c r="B190" s="14" t="s">
        <v>436</v>
      </c>
      <c r="C190" s="117" t="s">
        <v>800</v>
      </c>
      <c r="D190" s="118"/>
      <c r="E190" s="14" t="s">
        <v>1024</v>
      </c>
      <c r="F190" s="21">
        <v>1</v>
      </c>
      <c r="G190" s="59">
        <v>0</v>
      </c>
      <c r="H190" s="5"/>
    </row>
    <row r="191" spans="1:8" x14ac:dyDescent="0.25">
      <c r="A191" s="4" t="s">
        <v>139</v>
      </c>
      <c r="B191" s="14" t="s">
        <v>437</v>
      </c>
      <c r="C191" s="117" t="s">
        <v>801</v>
      </c>
      <c r="D191" s="118"/>
      <c r="E191" s="14" t="s">
        <v>1024</v>
      </c>
      <c r="F191" s="21">
        <v>2</v>
      </c>
      <c r="G191" s="59">
        <v>0</v>
      </c>
      <c r="H191" s="5"/>
    </row>
    <row r="192" spans="1:8" x14ac:dyDescent="0.25">
      <c r="A192" s="4" t="s">
        <v>140</v>
      </c>
      <c r="B192" s="14" t="s">
        <v>438</v>
      </c>
      <c r="C192" s="117" t="s">
        <v>802</v>
      </c>
      <c r="D192" s="118"/>
      <c r="E192" s="14" t="s">
        <v>1024</v>
      </c>
      <c r="F192" s="21">
        <v>10</v>
      </c>
      <c r="G192" s="59">
        <v>0</v>
      </c>
      <c r="H192" s="5"/>
    </row>
    <row r="193" spans="1:8" x14ac:dyDescent="0.25">
      <c r="A193" s="4" t="s">
        <v>141</v>
      </c>
      <c r="B193" s="14" t="s">
        <v>439</v>
      </c>
      <c r="C193" s="117" t="s">
        <v>803</v>
      </c>
      <c r="D193" s="118"/>
      <c r="E193" s="14" t="s">
        <v>1024</v>
      </c>
      <c r="F193" s="21">
        <v>1</v>
      </c>
      <c r="G193" s="59">
        <v>0</v>
      </c>
      <c r="H193" s="5"/>
    </row>
    <row r="194" spans="1:8" x14ac:dyDescent="0.25">
      <c r="A194" s="4" t="s">
        <v>142</v>
      </c>
      <c r="B194" s="14" t="s">
        <v>440</v>
      </c>
      <c r="C194" s="117" t="s">
        <v>804</v>
      </c>
      <c r="D194" s="118"/>
      <c r="E194" s="14" t="s">
        <v>1024</v>
      </c>
      <c r="F194" s="21">
        <v>2</v>
      </c>
      <c r="G194" s="59">
        <v>0</v>
      </c>
      <c r="H194" s="5"/>
    </row>
    <row r="195" spans="1:8" x14ac:dyDescent="0.25">
      <c r="A195" s="4" t="s">
        <v>143</v>
      </c>
      <c r="B195" s="14" t="s">
        <v>441</v>
      </c>
      <c r="C195" s="117" t="s">
        <v>805</v>
      </c>
      <c r="D195" s="118"/>
      <c r="E195" s="14" t="s">
        <v>1024</v>
      </c>
      <c r="F195" s="21">
        <v>2</v>
      </c>
      <c r="G195" s="59">
        <v>0</v>
      </c>
      <c r="H195" s="5"/>
    </row>
    <row r="196" spans="1:8" x14ac:dyDescent="0.25">
      <c r="A196" s="4" t="s">
        <v>144</v>
      </c>
      <c r="B196" s="14" t="s">
        <v>442</v>
      </c>
      <c r="C196" s="117" t="s">
        <v>806</v>
      </c>
      <c r="D196" s="118"/>
      <c r="E196" s="14" t="s">
        <v>1024</v>
      </c>
      <c r="F196" s="21">
        <v>3</v>
      </c>
      <c r="G196" s="59">
        <v>0</v>
      </c>
      <c r="H196" s="5"/>
    </row>
    <row r="197" spans="1:8" x14ac:dyDescent="0.25">
      <c r="A197" s="4" t="s">
        <v>145</v>
      </c>
      <c r="B197" s="14" t="s">
        <v>443</v>
      </c>
      <c r="C197" s="117" t="s">
        <v>807</v>
      </c>
      <c r="D197" s="118"/>
      <c r="E197" s="14" t="s">
        <v>1024</v>
      </c>
      <c r="F197" s="21">
        <v>3</v>
      </c>
      <c r="G197" s="59">
        <v>0</v>
      </c>
      <c r="H197" s="5"/>
    </row>
    <row r="198" spans="1:8" x14ac:dyDescent="0.25">
      <c r="A198" s="4" t="s">
        <v>146</v>
      </c>
      <c r="B198" s="14" t="s">
        <v>444</v>
      </c>
      <c r="C198" s="117" t="s">
        <v>808</v>
      </c>
      <c r="D198" s="118"/>
      <c r="E198" s="14" t="s">
        <v>1024</v>
      </c>
      <c r="F198" s="21">
        <v>2</v>
      </c>
      <c r="G198" s="59">
        <v>0</v>
      </c>
      <c r="H198" s="5"/>
    </row>
    <row r="199" spans="1:8" x14ac:dyDescent="0.25">
      <c r="A199" s="4" t="s">
        <v>147</v>
      </c>
      <c r="B199" s="14" t="s">
        <v>445</v>
      </c>
      <c r="C199" s="117" t="s">
        <v>809</v>
      </c>
      <c r="D199" s="118"/>
      <c r="E199" s="14" t="s">
        <v>1024</v>
      </c>
      <c r="F199" s="21">
        <v>1</v>
      </c>
      <c r="G199" s="59">
        <v>0</v>
      </c>
      <c r="H199" s="5"/>
    </row>
    <row r="200" spans="1:8" x14ac:dyDescent="0.25">
      <c r="A200" s="4" t="s">
        <v>148</v>
      </c>
      <c r="B200" s="14" t="s">
        <v>446</v>
      </c>
      <c r="C200" s="117" t="s">
        <v>810</v>
      </c>
      <c r="D200" s="118"/>
      <c r="E200" s="14" t="s">
        <v>1024</v>
      </c>
      <c r="F200" s="21">
        <v>1</v>
      </c>
      <c r="G200" s="59">
        <v>0</v>
      </c>
      <c r="H200" s="5"/>
    </row>
    <row r="201" spans="1:8" x14ac:dyDescent="0.25">
      <c r="A201" s="4" t="s">
        <v>149</v>
      </c>
      <c r="B201" s="14" t="s">
        <v>446</v>
      </c>
      <c r="C201" s="117" t="s">
        <v>811</v>
      </c>
      <c r="D201" s="118"/>
      <c r="E201" s="14" t="s">
        <v>1024</v>
      </c>
      <c r="F201" s="21">
        <v>1</v>
      </c>
      <c r="G201" s="59">
        <v>0</v>
      </c>
      <c r="H201" s="5"/>
    </row>
    <row r="202" spans="1:8" x14ac:dyDescent="0.25">
      <c r="A202" s="4" t="s">
        <v>150</v>
      </c>
      <c r="B202" s="14" t="s">
        <v>447</v>
      </c>
      <c r="C202" s="117" t="s">
        <v>812</v>
      </c>
      <c r="D202" s="118"/>
      <c r="E202" s="14" t="s">
        <v>1024</v>
      </c>
      <c r="F202" s="21">
        <v>4</v>
      </c>
      <c r="G202" s="59">
        <v>0</v>
      </c>
      <c r="H202" s="5"/>
    </row>
    <row r="203" spans="1:8" x14ac:dyDescent="0.25">
      <c r="A203" s="4" t="s">
        <v>151</v>
      </c>
      <c r="B203" s="14" t="s">
        <v>448</v>
      </c>
      <c r="C203" s="117" t="s">
        <v>813</v>
      </c>
      <c r="D203" s="118"/>
      <c r="E203" s="14" t="s">
        <v>1024</v>
      </c>
      <c r="F203" s="21">
        <v>2</v>
      </c>
      <c r="G203" s="59">
        <v>0</v>
      </c>
      <c r="H203" s="5"/>
    </row>
    <row r="204" spans="1:8" x14ac:dyDescent="0.25">
      <c r="A204" s="4" t="s">
        <v>152</v>
      </c>
      <c r="B204" s="14" t="s">
        <v>449</v>
      </c>
      <c r="C204" s="117" t="s">
        <v>814</v>
      </c>
      <c r="D204" s="118"/>
      <c r="E204" s="14" t="s">
        <v>1024</v>
      </c>
      <c r="F204" s="21">
        <v>4</v>
      </c>
      <c r="G204" s="59">
        <v>0</v>
      </c>
      <c r="H204" s="5"/>
    </row>
    <row r="205" spans="1:8" x14ac:dyDescent="0.25">
      <c r="A205" s="4" t="s">
        <v>153</v>
      </c>
      <c r="B205" s="14" t="s">
        <v>450</v>
      </c>
      <c r="C205" s="117" t="s">
        <v>815</v>
      </c>
      <c r="D205" s="118"/>
      <c r="E205" s="14" t="s">
        <v>1024</v>
      </c>
      <c r="F205" s="21">
        <v>8</v>
      </c>
      <c r="G205" s="59">
        <v>0</v>
      </c>
      <c r="H205" s="5"/>
    </row>
    <row r="206" spans="1:8" x14ac:dyDescent="0.25">
      <c r="A206" s="4" t="s">
        <v>154</v>
      </c>
      <c r="B206" s="14" t="s">
        <v>451</v>
      </c>
      <c r="C206" s="117" t="s">
        <v>816</v>
      </c>
      <c r="D206" s="118"/>
      <c r="E206" s="14" t="s">
        <v>1024</v>
      </c>
      <c r="F206" s="21">
        <v>4</v>
      </c>
      <c r="G206" s="59">
        <v>0</v>
      </c>
      <c r="H206" s="5"/>
    </row>
    <row r="207" spans="1:8" x14ac:dyDescent="0.25">
      <c r="A207" s="4" t="s">
        <v>155</v>
      </c>
      <c r="B207" s="14" t="s">
        <v>452</v>
      </c>
      <c r="C207" s="117" t="s">
        <v>817</v>
      </c>
      <c r="D207" s="118"/>
      <c r="E207" s="14" t="s">
        <v>1024</v>
      </c>
      <c r="F207" s="21">
        <v>1</v>
      </c>
      <c r="G207" s="59">
        <v>0</v>
      </c>
      <c r="H207" s="5"/>
    </row>
    <row r="208" spans="1:8" x14ac:dyDescent="0.25">
      <c r="A208" s="4" t="s">
        <v>156</v>
      </c>
      <c r="B208" s="14" t="s">
        <v>452</v>
      </c>
      <c r="C208" s="117" t="s">
        <v>818</v>
      </c>
      <c r="D208" s="118"/>
      <c r="E208" s="14" t="s">
        <v>1024</v>
      </c>
      <c r="F208" s="21">
        <v>2</v>
      </c>
      <c r="G208" s="59">
        <v>0</v>
      </c>
      <c r="H208" s="5"/>
    </row>
    <row r="209" spans="1:8" x14ac:dyDescent="0.25">
      <c r="A209" s="4" t="s">
        <v>157</v>
      </c>
      <c r="B209" s="14" t="s">
        <v>453</v>
      </c>
      <c r="C209" s="117" t="s">
        <v>819</v>
      </c>
      <c r="D209" s="118"/>
      <c r="E209" s="14" t="s">
        <v>1024</v>
      </c>
      <c r="F209" s="21">
        <v>1</v>
      </c>
      <c r="G209" s="59">
        <v>0</v>
      </c>
      <c r="H209" s="5"/>
    </row>
    <row r="210" spans="1:8" x14ac:dyDescent="0.25">
      <c r="A210" s="4" t="s">
        <v>158</v>
      </c>
      <c r="B210" s="14" t="s">
        <v>454</v>
      </c>
      <c r="C210" s="117" t="s">
        <v>820</v>
      </c>
      <c r="D210" s="118"/>
      <c r="E210" s="14" t="s">
        <v>1024</v>
      </c>
      <c r="F210" s="21">
        <v>10</v>
      </c>
      <c r="G210" s="59">
        <v>0</v>
      </c>
      <c r="H210" s="5"/>
    </row>
    <row r="211" spans="1:8" x14ac:dyDescent="0.25">
      <c r="A211" s="4" t="s">
        <v>159</v>
      </c>
      <c r="B211" s="14" t="s">
        <v>455</v>
      </c>
      <c r="C211" s="117" t="s">
        <v>821</v>
      </c>
      <c r="D211" s="118"/>
      <c r="E211" s="14" t="s">
        <v>1024</v>
      </c>
      <c r="F211" s="21">
        <v>10</v>
      </c>
      <c r="G211" s="59">
        <v>0</v>
      </c>
      <c r="H211" s="5"/>
    </row>
    <row r="212" spans="1:8" x14ac:dyDescent="0.25">
      <c r="A212" s="4" t="s">
        <v>160</v>
      </c>
      <c r="B212" s="14" t="s">
        <v>382</v>
      </c>
      <c r="C212" s="117" t="s">
        <v>822</v>
      </c>
      <c r="D212" s="118"/>
      <c r="E212" s="14" t="s">
        <v>1024</v>
      </c>
      <c r="F212" s="21">
        <v>4</v>
      </c>
      <c r="G212" s="59">
        <v>0</v>
      </c>
      <c r="H212" s="5"/>
    </row>
    <row r="213" spans="1:8" x14ac:dyDescent="0.25">
      <c r="A213" s="4" t="s">
        <v>161</v>
      </c>
      <c r="B213" s="14" t="s">
        <v>456</v>
      </c>
      <c r="C213" s="117" t="s">
        <v>823</v>
      </c>
      <c r="D213" s="118"/>
      <c r="E213" s="14" t="s">
        <v>1024</v>
      </c>
      <c r="F213" s="21">
        <v>10</v>
      </c>
      <c r="G213" s="59">
        <v>0</v>
      </c>
      <c r="H213" s="5"/>
    </row>
    <row r="214" spans="1:8" x14ac:dyDescent="0.25">
      <c r="A214" s="4" t="s">
        <v>162</v>
      </c>
      <c r="B214" s="14" t="s">
        <v>457</v>
      </c>
      <c r="C214" s="117" t="s">
        <v>824</v>
      </c>
      <c r="D214" s="118"/>
      <c r="E214" s="14" t="s">
        <v>1024</v>
      </c>
      <c r="F214" s="21">
        <v>4</v>
      </c>
      <c r="G214" s="59">
        <v>0</v>
      </c>
      <c r="H214" s="5"/>
    </row>
    <row r="215" spans="1:8" x14ac:dyDescent="0.25">
      <c r="A215" s="4" t="s">
        <v>163</v>
      </c>
      <c r="B215" s="14" t="s">
        <v>458</v>
      </c>
      <c r="C215" s="117" t="s">
        <v>825</v>
      </c>
      <c r="D215" s="118"/>
      <c r="E215" s="14" t="s">
        <v>1024</v>
      </c>
      <c r="F215" s="21">
        <v>2</v>
      </c>
      <c r="G215" s="59">
        <v>0</v>
      </c>
      <c r="H215" s="5"/>
    </row>
    <row r="216" spans="1:8" x14ac:dyDescent="0.25">
      <c r="A216" s="4" t="s">
        <v>164</v>
      </c>
      <c r="B216" s="14" t="s">
        <v>459</v>
      </c>
      <c r="C216" s="117" t="s">
        <v>826</v>
      </c>
      <c r="D216" s="118"/>
      <c r="E216" s="14" t="s">
        <v>1027</v>
      </c>
      <c r="F216" s="21">
        <v>4</v>
      </c>
      <c r="G216" s="59">
        <v>0</v>
      </c>
      <c r="H216" s="5"/>
    </row>
    <row r="217" spans="1:8" x14ac:dyDescent="0.25">
      <c r="A217" s="53"/>
      <c r="B217" s="15" t="s">
        <v>460</v>
      </c>
      <c r="C217" s="121" t="s">
        <v>827</v>
      </c>
      <c r="D217" s="122"/>
      <c r="E217" s="15"/>
      <c r="F217" s="43"/>
      <c r="G217" s="33"/>
      <c r="H217" s="5"/>
    </row>
    <row r="218" spans="1:8" x14ac:dyDescent="0.25">
      <c r="A218" s="4" t="s">
        <v>165</v>
      </c>
      <c r="B218" s="14" t="s">
        <v>461</v>
      </c>
      <c r="C218" s="117" t="s">
        <v>828</v>
      </c>
      <c r="D218" s="118"/>
      <c r="E218" s="14" t="s">
        <v>1023</v>
      </c>
      <c r="F218" s="21">
        <v>223</v>
      </c>
      <c r="G218" s="59">
        <v>0</v>
      </c>
      <c r="H218" s="5"/>
    </row>
    <row r="219" spans="1:8" ht="12.15" customHeight="1" x14ac:dyDescent="0.25">
      <c r="A219" s="4"/>
      <c r="B219" s="14"/>
      <c r="C219" s="133" t="s">
        <v>829</v>
      </c>
      <c r="D219" s="134"/>
      <c r="E219" s="133"/>
      <c r="F219" s="56">
        <v>223</v>
      </c>
      <c r="G219" s="31"/>
      <c r="H219" s="5"/>
    </row>
    <row r="220" spans="1:8" x14ac:dyDescent="0.25">
      <c r="A220" s="53"/>
      <c r="B220" s="15" t="s">
        <v>462</v>
      </c>
      <c r="C220" s="121" t="s">
        <v>830</v>
      </c>
      <c r="D220" s="122"/>
      <c r="E220" s="15"/>
      <c r="F220" s="43"/>
      <c r="G220" s="33"/>
      <c r="H220" s="5"/>
    </row>
    <row r="221" spans="1:8" x14ac:dyDescent="0.25">
      <c r="A221" s="4" t="s">
        <v>166</v>
      </c>
      <c r="B221" s="14" t="s">
        <v>463</v>
      </c>
      <c r="C221" s="117" t="s">
        <v>831</v>
      </c>
      <c r="D221" s="118"/>
      <c r="E221" s="14" t="s">
        <v>1023</v>
      </c>
      <c r="F221" s="21">
        <v>0.18</v>
      </c>
      <c r="G221" s="59">
        <v>0</v>
      </c>
      <c r="H221" s="5"/>
    </row>
    <row r="222" spans="1:8" ht="12.15" customHeight="1" x14ac:dyDescent="0.25">
      <c r="A222" s="4"/>
      <c r="B222" s="14"/>
      <c r="C222" s="133" t="s">
        <v>688</v>
      </c>
      <c r="D222" s="134"/>
      <c r="E222" s="133"/>
      <c r="F222" s="56">
        <v>0.18</v>
      </c>
      <c r="G222" s="31"/>
      <c r="H222" s="5"/>
    </row>
    <row r="223" spans="1:8" x14ac:dyDescent="0.25">
      <c r="A223" s="4" t="s">
        <v>167</v>
      </c>
      <c r="B223" s="14" t="s">
        <v>464</v>
      </c>
      <c r="C223" s="117" t="s">
        <v>832</v>
      </c>
      <c r="D223" s="118"/>
      <c r="E223" s="14" t="s">
        <v>1023</v>
      </c>
      <c r="F223" s="21">
        <v>0.18</v>
      </c>
      <c r="G223" s="59">
        <v>0</v>
      </c>
      <c r="H223" s="5"/>
    </row>
    <row r="224" spans="1:8" x14ac:dyDescent="0.25">
      <c r="A224" s="53"/>
      <c r="B224" s="15" t="s">
        <v>465</v>
      </c>
      <c r="C224" s="121" t="s">
        <v>833</v>
      </c>
      <c r="D224" s="122"/>
      <c r="E224" s="15"/>
      <c r="F224" s="43"/>
      <c r="G224" s="33"/>
      <c r="H224" s="5"/>
    </row>
    <row r="225" spans="1:8" x14ac:dyDescent="0.25">
      <c r="A225" s="4" t="s">
        <v>168</v>
      </c>
      <c r="B225" s="14" t="s">
        <v>466</v>
      </c>
      <c r="C225" s="117" t="s">
        <v>834</v>
      </c>
      <c r="D225" s="118"/>
      <c r="E225" s="14" t="s">
        <v>1024</v>
      </c>
      <c r="F225" s="21">
        <v>1</v>
      </c>
      <c r="G225" s="59">
        <v>0</v>
      </c>
      <c r="H225" s="5"/>
    </row>
    <row r="226" spans="1:8" x14ac:dyDescent="0.25">
      <c r="A226" s="53"/>
      <c r="B226" s="15" t="s">
        <v>467</v>
      </c>
      <c r="C226" s="121" t="s">
        <v>835</v>
      </c>
      <c r="D226" s="122"/>
      <c r="E226" s="15"/>
      <c r="F226" s="43"/>
      <c r="G226" s="33"/>
      <c r="H226" s="5"/>
    </row>
    <row r="227" spans="1:8" x14ac:dyDescent="0.25">
      <c r="A227" s="4" t="s">
        <v>169</v>
      </c>
      <c r="B227" s="14" t="s">
        <v>468</v>
      </c>
      <c r="C227" s="117" t="s">
        <v>836</v>
      </c>
      <c r="D227" s="118"/>
      <c r="E227" s="14" t="s">
        <v>1024</v>
      </c>
      <c r="F227" s="21">
        <v>1</v>
      </c>
      <c r="G227" s="59">
        <v>0</v>
      </c>
      <c r="H227" s="5"/>
    </row>
    <row r="228" spans="1:8" x14ac:dyDescent="0.25">
      <c r="A228" s="4" t="s">
        <v>170</v>
      </c>
      <c r="B228" s="14" t="s">
        <v>469</v>
      </c>
      <c r="C228" s="117" t="s">
        <v>837</v>
      </c>
      <c r="D228" s="118"/>
      <c r="E228" s="14" t="s">
        <v>1026</v>
      </c>
      <c r="F228" s="21">
        <v>28</v>
      </c>
      <c r="G228" s="59">
        <v>0</v>
      </c>
      <c r="H228" s="5"/>
    </row>
    <row r="229" spans="1:8" ht="12.15" customHeight="1" x14ac:dyDescent="0.25">
      <c r="A229" s="4"/>
      <c r="B229" s="14"/>
      <c r="C229" s="133" t="s">
        <v>838</v>
      </c>
      <c r="D229" s="134"/>
      <c r="E229" s="133"/>
      <c r="F229" s="56">
        <v>28</v>
      </c>
      <c r="G229" s="31"/>
      <c r="H229" s="5"/>
    </row>
    <row r="230" spans="1:8" x14ac:dyDescent="0.25">
      <c r="A230" s="4" t="s">
        <v>171</v>
      </c>
      <c r="B230" s="14" t="s">
        <v>470</v>
      </c>
      <c r="C230" s="117" t="s">
        <v>839</v>
      </c>
      <c r="D230" s="118"/>
      <c r="E230" s="14" t="s">
        <v>1026</v>
      </c>
      <c r="F230" s="21">
        <v>28</v>
      </c>
      <c r="G230" s="59">
        <v>0</v>
      </c>
      <c r="H230" s="5"/>
    </row>
    <row r="231" spans="1:8" ht="12.15" customHeight="1" x14ac:dyDescent="0.25">
      <c r="A231" s="4"/>
      <c r="B231" s="14"/>
      <c r="C231" s="133" t="s">
        <v>840</v>
      </c>
      <c r="D231" s="134"/>
      <c r="E231" s="133"/>
      <c r="F231" s="56">
        <v>28</v>
      </c>
      <c r="G231" s="31"/>
      <c r="H231" s="5"/>
    </row>
    <row r="232" spans="1:8" x14ac:dyDescent="0.25">
      <c r="A232" s="4" t="s">
        <v>172</v>
      </c>
      <c r="B232" s="14" t="s">
        <v>471</v>
      </c>
      <c r="C232" s="117" t="s">
        <v>841</v>
      </c>
      <c r="D232" s="118"/>
      <c r="E232" s="14" t="s">
        <v>1024</v>
      </c>
      <c r="F232" s="21">
        <v>1</v>
      </c>
      <c r="G232" s="59">
        <v>0</v>
      </c>
      <c r="H232" s="5"/>
    </row>
    <row r="233" spans="1:8" x14ac:dyDescent="0.25">
      <c r="A233" s="7" t="s">
        <v>173</v>
      </c>
      <c r="B233" s="16" t="s">
        <v>472</v>
      </c>
      <c r="C233" s="123" t="s">
        <v>842</v>
      </c>
      <c r="D233" s="124"/>
      <c r="E233" s="16" t="s">
        <v>1026</v>
      </c>
      <c r="F233" s="23">
        <v>28</v>
      </c>
      <c r="G233" s="60">
        <v>0</v>
      </c>
      <c r="H233" s="5"/>
    </row>
    <row r="234" spans="1:8" ht="12.15" customHeight="1" x14ac:dyDescent="0.25">
      <c r="A234" s="7"/>
      <c r="B234" s="16"/>
      <c r="C234" s="135" t="s">
        <v>843</v>
      </c>
      <c r="D234" s="136"/>
      <c r="E234" s="135"/>
      <c r="F234" s="57">
        <v>28</v>
      </c>
      <c r="G234" s="34"/>
      <c r="H234" s="5"/>
    </row>
    <row r="235" spans="1:8" ht="12.15" customHeight="1" x14ac:dyDescent="0.25">
      <c r="A235" s="7"/>
      <c r="B235" s="16"/>
      <c r="C235" s="135" t="s">
        <v>844</v>
      </c>
      <c r="D235" s="136"/>
      <c r="E235" s="135"/>
      <c r="F235" s="57">
        <v>0</v>
      </c>
      <c r="G235" s="34"/>
      <c r="H235" s="5"/>
    </row>
    <row r="236" spans="1:8" ht="12.15" customHeight="1" x14ac:dyDescent="0.25">
      <c r="A236" s="7"/>
      <c r="B236" s="16"/>
      <c r="C236" s="135" t="s">
        <v>845</v>
      </c>
      <c r="D236" s="136"/>
      <c r="E236" s="135"/>
      <c r="F236" s="57">
        <v>0</v>
      </c>
      <c r="G236" s="34"/>
      <c r="H236" s="5"/>
    </row>
    <row r="237" spans="1:8" x14ac:dyDescent="0.25">
      <c r="A237" s="7" t="s">
        <v>174</v>
      </c>
      <c r="B237" s="16" t="s">
        <v>473</v>
      </c>
      <c r="C237" s="123" t="s">
        <v>846</v>
      </c>
      <c r="D237" s="124"/>
      <c r="E237" s="16" t="s">
        <v>1026</v>
      </c>
      <c r="F237" s="23">
        <v>28</v>
      </c>
      <c r="G237" s="60">
        <v>0</v>
      </c>
      <c r="H237" s="5"/>
    </row>
    <row r="238" spans="1:8" ht="12.15" customHeight="1" x14ac:dyDescent="0.25">
      <c r="A238" s="7"/>
      <c r="B238" s="16"/>
      <c r="C238" s="135" t="s">
        <v>847</v>
      </c>
      <c r="D238" s="136"/>
      <c r="E238" s="135"/>
      <c r="F238" s="57">
        <v>28</v>
      </c>
      <c r="G238" s="34"/>
      <c r="H238" s="5"/>
    </row>
    <row r="239" spans="1:8" x14ac:dyDescent="0.25">
      <c r="A239" s="7" t="s">
        <v>175</v>
      </c>
      <c r="B239" s="16" t="s">
        <v>474</v>
      </c>
      <c r="C239" s="123" t="s">
        <v>848</v>
      </c>
      <c r="D239" s="124"/>
      <c r="E239" s="16" t="s">
        <v>1024</v>
      </c>
      <c r="F239" s="23">
        <v>6</v>
      </c>
      <c r="G239" s="60">
        <v>0</v>
      </c>
      <c r="H239" s="5"/>
    </row>
    <row r="240" spans="1:8" ht="12.15" customHeight="1" x14ac:dyDescent="0.25">
      <c r="A240" s="7"/>
      <c r="B240" s="16"/>
      <c r="C240" s="135" t="s">
        <v>849</v>
      </c>
      <c r="D240" s="136"/>
      <c r="E240" s="135"/>
      <c r="F240" s="57">
        <v>6</v>
      </c>
      <c r="G240" s="34"/>
      <c r="H240" s="5"/>
    </row>
    <row r="241" spans="1:8" x14ac:dyDescent="0.25">
      <c r="A241" s="7" t="s">
        <v>176</v>
      </c>
      <c r="B241" s="16" t="s">
        <v>475</v>
      </c>
      <c r="C241" s="123" t="s">
        <v>850</v>
      </c>
      <c r="D241" s="124"/>
      <c r="E241" s="16" t="s">
        <v>1024</v>
      </c>
      <c r="F241" s="23">
        <v>1</v>
      </c>
      <c r="G241" s="60">
        <v>0</v>
      </c>
      <c r="H241" s="5"/>
    </row>
    <row r="242" spans="1:8" ht="12.15" customHeight="1" x14ac:dyDescent="0.25">
      <c r="A242" s="7"/>
      <c r="B242" s="16"/>
      <c r="C242" s="135" t="s">
        <v>851</v>
      </c>
      <c r="D242" s="136"/>
      <c r="E242" s="135"/>
      <c r="F242" s="57">
        <v>1</v>
      </c>
      <c r="G242" s="34"/>
      <c r="H242" s="5"/>
    </row>
    <row r="243" spans="1:8" ht="12.15" customHeight="1" x14ac:dyDescent="0.25">
      <c r="A243" s="7"/>
      <c r="B243" s="16"/>
      <c r="C243" s="135" t="s">
        <v>852</v>
      </c>
      <c r="D243" s="136"/>
      <c r="E243" s="135"/>
      <c r="F243" s="57">
        <v>0</v>
      </c>
      <c r="G243" s="34"/>
      <c r="H243" s="5"/>
    </row>
    <row r="244" spans="1:8" ht="12.15" customHeight="1" x14ac:dyDescent="0.25">
      <c r="A244" s="7"/>
      <c r="B244" s="16"/>
      <c r="C244" s="135" t="s">
        <v>853</v>
      </c>
      <c r="D244" s="136"/>
      <c r="E244" s="135"/>
      <c r="F244" s="57">
        <v>0</v>
      </c>
      <c r="G244" s="34"/>
      <c r="H244" s="5"/>
    </row>
    <row r="245" spans="1:8" ht="12.15" customHeight="1" x14ac:dyDescent="0.25">
      <c r="A245" s="7"/>
      <c r="B245" s="16"/>
      <c r="C245" s="135" t="s">
        <v>854</v>
      </c>
      <c r="D245" s="136"/>
      <c r="E245" s="135"/>
      <c r="F245" s="57">
        <v>0</v>
      </c>
      <c r="G245" s="34"/>
      <c r="H245" s="5"/>
    </row>
    <row r="246" spans="1:8" x14ac:dyDescent="0.25">
      <c r="A246" s="4" t="s">
        <v>177</v>
      </c>
      <c r="B246" s="14" t="s">
        <v>476</v>
      </c>
      <c r="C246" s="117" t="s">
        <v>855</v>
      </c>
      <c r="D246" s="118"/>
      <c r="E246" s="14" t="s">
        <v>1024</v>
      </c>
      <c r="F246" s="21">
        <v>10</v>
      </c>
      <c r="G246" s="59">
        <v>0</v>
      </c>
      <c r="H246" s="5"/>
    </row>
    <row r="247" spans="1:8" x14ac:dyDescent="0.25">
      <c r="A247" s="7" t="s">
        <v>178</v>
      </c>
      <c r="B247" s="16" t="s">
        <v>477</v>
      </c>
      <c r="C247" s="123" t="s">
        <v>856</v>
      </c>
      <c r="D247" s="124"/>
      <c r="E247" s="16" t="s">
        <v>1024</v>
      </c>
      <c r="F247" s="23">
        <v>10</v>
      </c>
      <c r="G247" s="60">
        <v>0</v>
      </c>
      <c r="H247" s="5"/>
    </row>
    <row r="248" spans="1:8" x14ac:dyDescent="0.25">
      <c r="A248" s="4" t="s">
        <v>179</v>
      </c>
      <c r="B248" s="14" t="s">
        <v>478</v>
      </c>
      <c r="C248" s="117" t="s">
        <v>857</v>
      </c>
      <c r="D248" s="118"/>
      <c r="E248" s="14" t="s">
        <v>1026</v>
      </c>
      <c r="F248" s="21">
        <v>8</v>
      </c>
      <c r="G248" s="59">
        <v>0</v>
      </c>
      <c r="H248" s="5"/>
    </row>
    <row r="249" spans="1:8" x14ac:dyDescent="0.25">
      <c r="A249" s="4" t="s">
        <v>180</v>
      </c>
      <c r="B249" s="14" t="s">
        <v>471</v>
      </c>
      <c r="C249" s="117" t="s">
        <v>858</v>
      </c>
      <c r="D249" s="118"/>
      <c r="E249" s="14" t="s">
        <v>1024</v>
      </c>
      <c r="F249" s="21">
        <v>1</v>
      </c>
      <c r="G249" s="59">
        <v>0</v>
      </c>
      <c r="H249" s="5"/>
    </row>
    <row r="250" spans="1:8" x14ac:dyDescent="0.25">
      <c r="A250" s="4" t="s">
        <v>181</v>
      </c>
      <c r="B250" s="14" t="s">
        <v>479</v>
      </c>
      <c r="C250" s="117" t="s">
        <v>859</v>
      </c>
      <c r="D250" s="118"/>
      <c r="E250" s="14" t="s">
        <v>1028</v>
      </c>
      <c r="F250" s="21">
        <v>650</v>
      </c>
      <c r="G250" s="59">
        <v>0</v>
      </c>
      <c r="H250" s="5"/>
    </row>
    <row r="251" spans="1:8" x14ac:dyDescent="0.25">
      <c r="A251" s="53"/>
      <c r="B251" s="15" t="s">
        <v>480</v>
      </c>
      <c r="C251" s="121" t="s">
        <v>860</v>
      </c>
      <c r="D251" s="122"/>
      <c r="E251" s="15"/>
      <c r="F251" s="43"/>
      <c r="G251" s="33"/>
      <c r="H251" s="5"/>
    </row>
    <row r="252" spans="1:8" x14ac:dyDescent="0.25">
      <c r="A252" s="4" t="s">
        <v>182</v>
      </c>
      <c r="B252" s="14" t="s">
        <v>481</v>
      </c>
      <c r="C252" s="117" t="s">
        <v>861</v>
      </c>
      <c r="D252" s="118"/>
      <c r="E252" s="14" t="s">
        <v>1023</v>
      </c>
      <c r="F252" s="21">
        <v>32.57</v>
      </c>
      <c r="G252" s="59">
        <v>0</v>
      </c>
      <c r="H252" s="5"/>
    </row>
    <row r="253" spans="1:8" ht="12.15" customHeight="1" x14ac:dyDescent="0.25">
      <c r="A253" s="4"/>
      <c r="B253" s="14"/>
      <c r="C253" s="133" t="s">
        <v>862</v>
      </c>
      <c r="D253" s="134"/>
      <c r="E253" s="133"/>
      <c r="F253" s="56">
        <v>32.57</v>
      </c>
      <c r="G253" s="31"/>
      <c r="H253" s="5"/>
    </row>
    <row r="254" spans="1:8" x14ac:dyDescent="0.25">
      <c r="A254" s="4" t="s">
        <v>183</v>
      </c>
      <c r="B254" s="14" t="s">
        <v>482</v>
      </c>
      <c r="C254" s="117" t="s">
        <v>863</v>
      </c>
      <c r="D254" s="118"/>
      <c r="E254" s="14" t="s">
        <v>1026</v>
      </c>
      <c r="F254" s="21">
        <v>4.3</v>
      </c>
      <c r="G254" s="59">
        <v>0</v>
      </c>
      <c r="H254" s="5"/>
    </row>
    <row r="255" spans="1:8" ht="12.15" customHeight="1" x14ac:dyDescent="0.25">
      <c r="A255" s="4"/>
      <c r="B255" s="14"/>
      <c r="C255" s="133" t="s">
        <v>864</v>
      </c>
      <c r="D255" s="134"/>
      <c r="E255" s="133"/>
      <c r="F255" s="56">
        <v>4.3</v>
      </c>
      <c r="G255" s="31"/>
      <c r="H255" s="5"/>
    </row>
    <row r="256" spans="1:8" x14ac:dyDescent="0.25">
      <c r="A256" s="4" t="s">
        <v>184</v>
      </c>
      <c r="B256" s="14" t="s">
        <v>483</v>
      </c>
      <c r="C256" s="117" t="s">
        <v>865</v>
      </c>
      <c r="D256" s="118"/>
      <c r="E256" s="14" t="s">
        <v>1023</v>
      </c>
      <c r="F256" s="21">
        <v>33.43</v>
      </c>
      <c r="G256" s="59">
        <v>0</v>
      </c>
      <c r="H256" s="5"/>
    </row>
    <row r="257" spans="1:8" ht="12.15" customHeight="1" x14ac:dyDescent="0.25">
      <c r="A257" s="4"/>
      <c r="B257" s="14"/>
      <c r="C257" s="133" t="s">
        <v>866</v>
      </c>
      <c r="D257" s="134"/>
      <c r="E257" s="133"/>
      <c r="F257" s="56">
        <v>33.43</v>
      </c>
      <c r="G257" s="31"/>
      <c r="H257" s="5"/>
    </row>
    <row r="258" spans="1:8" x14ac:dyDescent="0.25">
      <c r="A258" s="7" t="s">
        <v>185</v>
      </c>
      <c r="B258" s="16" t="s">
        <v>484</v>
      </c>
      <c r="C258" s="123" t="s">
        <v>867</v>
      </c>
      <c r="D258" s="124"/>
      <c r="E258" s="16" t="s">
        <v>1023</v>
      </c>
      <c r="F258" s="23">
        <v>36.1</v>
      </c>
      <c r="G258" s="60">
        <v>0</v>
      </c>
      <c r="H258" s="5"/>
    </row>
    <row r="259" spans="1:8" ht="12.15" customHeight="1" x14ac:dyDescent="0.25">
      <c r="A259" s="7"/>
      <c r="B259" s="16"/>
      <c r="C259" s="135" t="s">
        <v>868</v>
      </c>
      <c r="D259" s="136"/>
      <c r="E259" s="135"/>
      <c r="F259" s="57">
        <v>36.1</v>
      </c>
      <c r="G259" s="34"/>
      <c r="H259" s="5"/>
    </row>
    <row r="260" spans="1:8" x14ac:dyDescent="0.25">
      <c r="A260" s="7" t="s">
        <v>186</v>
      </c>
      <c r="B260" s="16" t="s">
        <v>485</v>
      </c>
      <c r="C260" s="123" t="s">
        <v>869</v>
      </c>
      <c r="D260" s="124"/>
      <c r="E260" s="16" t="s">
        <v>1023</v>
      </c>
      <c r="F260" s="23">
        <v>2.57</v>
      </c>
      <c r="G260" s="60">
        <v>0</v>
      </c>
      <c r="H260" s="5"/>
    </row>
    <row r="261" spans="1:8" ht="12.15" customHeight="1" x14ac:dyDescent="0.25">
      <c r="A261" s="7"/>
      <c r="B261" s="16"/>
      <c r="C261" s="135" t="s">
        <v>870</v>
      </c>
      <c r="D261" s="136"/>
      <c r="E261" s="135"/>
      <c r="F261" s="57">
        <v>2.57</v>
      </c>
      <c r="G261" s="34"/>
      <c r="H261" s="5"/>
    </row>
    <row r="262" spans="1:8" x14ac:dyDescent="0.25">
      <c r="A262" s="53"/>
      <c r="B262" s="15" t="s">
        <v>486</v>
      </c>
      <c r="C262" s="121" t="s">
        <v>871</v>
      </c>
      <c r="D262" s="122"/>
      <c r="E262" s="15"/>
      <c r="F262" s="43"/>
      <c r="G262" s="33"/>
      <c r="H262" s="5"/>
    </row>
    <row r="263" spans="1:8" x14ac:dyDescent="0.25">
      <c r="A263" s="4" t="s">
        <v>187</v>
      </c>
      <c r="B263" s="14" t="s">
        <v>487</v>
      </c>
      <c r="C263" s="117" t="s">
        <v>872</v>
      </c>
      <c r="D263" s="118"/>
      <c r="E263" s="14" t="s">
        <v>1024</v>
      </c>
      <c r="F263" s="21">
        <v>12</v>
      </c>
      <c r="G263" s="59">
        <v>0</v>
      </c>
      <c r="H263" s="5"/>
    </row>
    <row r="264" spans="1:8" x14ac:dyDescent="0.25">
      <c r="A264" s="4" t="s">
        <v>188</v>
      </c>
      <c r="B264" s="14" t="s">
        <v>488</v>
      </c>
      <c r="C264" s="117" t="s">
        <v>873</v>
      </c>
      <c r="D264" s="118"/>
      <c r="E264" s="14" t="s">
        <v>1026</v>
      </c>
      <c r="F264" s="21">
        <v>42</v>
      </c>
      <c r="G264" s="59">
        <v>0</v>
      </c>
      <c r="H264" s="5"/>
    </row>
    <row r="265" spans="1:8" x14ac:dyDescent="0.25">
      <c r="A265" s="4" t="s">
        <v>189</v>
      </c>
      <c r="B265" s="14" t="s">
        <v>489</v>
      </c>
      <c r="C265" s="117" t="s">
        <v>874</v>
      </c>
      <c r="D265" s="118"/>
      <c r="E265" s="14" t="s">
        <v>1026</v>
      </c>
      <c r="F265" s="21">
        <v>12</v>
      </c>
      <c r="G265" s="59">
        <v>0</v>
      </c>
      <c r="H265" s="5"/>
    </row>
    <row r="266" spans="1:8" x14ac:dyDescent="0.25">
      <c r="A266" s="4" t="s">
        <v>190</v>
      </c>
      <c r="B266" s="14" t="s">
        <v>490</v>
      </c>
      <c r="C266" s="117" t="s">
        <v>875</v>
      </c>
      <c r="D266" s="118"/>
      <c r="E266" s="14" t="s">
        <v>1026</v>
      </c>
      <c r="F266" s="21">
        <v>22</v>
      </c>
      <c r="G266" s="59">
        <v>0</v>
      </c>
      <c r="H266" s="5"/>
    </row>
    <row r="267" spans="1:8" x14ac:dyDescent="0.25">
      <c r="A267" s="4" t="s">
        <v>191</v>
      </c>
      <c r="B267" s="14" t="s">
        <v>491</v>
      </c>
      <c r="C267" s="117" t="s">
        <v>876</v>
      </c>
      <c r="D267" s="118"/>
      <c r="E267" s="14" t="s">
        <v>1023</v>
      </c>
      <c r="F267" s="21">
        <v>30</v>
      </c>
      <c r="G267" s="59">
        <v>0</v>
      </c>
      <c r="H267" s="5"/>
    </row>
    <row r="268" spans="1:8" x14ac:dyDescent="0.25">
      <c r="A268" s="4" t="s">
        <v>192</v>
      </c>
      <c r="B268" s="14" t="s">
        <v>492</v>
      </c>
      <c r="C268" s="117" t="s">
        <v>877</v>
      </c>
      <c r="D268" s="118"/>
      <c r="E268" s="14" t="s">
        <v>1023</v>
      </c>
      <c r="F268" s="21">
        <v>30</v>
      </c>
      <c r="G268" s="59">
        <v>0</v>
      </c>
      <c r="H268" s="5"/>
    </row>
    <row r="269" spans="1:8" x14ac:dyDescent="0.25">
      <c r="A269" s="53"/>
      <c r="B269" s="15" t="s">
        <v>102</v>
      </c>
      <c r="C269" s="121" t="s">
        <v>878</v>
      </c>
      <c r="D269" s="122"/>
      <c r="E269" s="15"/>
      <c r="F269" s="43"/>
      <c r="G269" s="33"/>
      <c r="H269" s="5"/>
    </row>
    <row r="270" spans="1:8" x14ac:dyDescent="0.25">
      <c r="A270" s="4" t="s">
        <v>193</v>
      </c>
      <c r="B270" s="14" t="s">
        <v>493</v>
      </c>
      <c r="C270" s="117" t="s">
        <v>879</v>
      </c>
      <c r="D270" s="118"/>
      <c r="E270" s="14" t="s">
        <v>1021</v>
      </c>
      <c r="F270" s="21">
        <v>0.7</v>
      </c>
      <c r="G270" s="59">
        <v>0</v>
      </c>
      <c r="H270" s="5"/>
    </row>
    <row r="271" spans="1:8" x14ac:dyDescent="0.25">
      <c r="A271" s="4" t="s">
        <v>194</v>
      </c>
      <c r="B271" s="14" t="s">
        <v>494</v>
      </c>
      <c r="C271" s="117" t="s">
        <v>880</v>
      </c>
      <c r="D271" s="118"/>
      <c r="E271" s="14" t="s">
        <v>1023</v>
      </c>
      <c r="F271" s="21">
        <v>1</v>
      </c>
      <c r="G271" s="59">
        <v>0</v>
      </c>
      <c r="H271" s="5"/>
    </row>
    <row r="272" spans="1:8" x14ac:dyDescent="0.25">
      <c r="A272" s="4" t="s">
        <v>195</v>
      </c>
      <c r="B272" s="14" t="s">
        <v>495</v>
      </c>
      <c r="C272" s="117" t="s">
        <v>881</v>
      </c>
      <c r="D272" s="118"/>
      <c r="E272" s="14" t="s">
        <v>1021</v>
      </c>
      <c r="F272" s="21">
        <v>1.01</v>
      </c>
      <c r="G272" s="59">
        <v>0</v>
      </c>
      <c r="H272" s="5"/>
    </row>
    <row r="273" spans="1:8" x14ac:dyDescent="0.25">
      <c r="A273" s="4" t="s">
        <v>196</v>
      </c>
      <c r="B273" s="14" t="s">
        <v>496</v>
      </c>
      <c r="C273" s="117" t="s">
        <v>882</v>
      </c>
      <c r="D273" s="118"/>
      <c r="E273" s="14" t="s">
        <v>1023</v>
      </c>
      <c r="F273" s="21">
        <v>1.8</v>
      </c>
      <c r="G273" s="59">
        <v>0</v>
      </c>
      <c r="H273" s="5"/>
    </row>
    <row r="274" spans="1:8" x14ac:dyDescent="0.25">
      <c r="A274" s="4" t="s">
        <v>197</v>
      </c>
      <c r="B274" s="14" t="s">
        <v>497</v>
      </c>
      <c r="C274" s="117" t="s">
        <v>883</v>
      </c>
      <c r="D274" s="118"/>
      <c r="E274" s="14" t="s">
        <v>1021</v>
      </c>
      <c r="F274" s="21">
        <v>0.3</v>
      </c>
      <c r="G274" s="59">
        <v>0</v>
      </c>
      <c r="H274" s="5"/>
    </row>
    <row r="275" spans="1:8" x14ac:dyDescent="0.25">
      <c r="A275" s="4" t="s">
        <v>198</v>
      </c>
      <c r="B275" s="14" t="s">
        <v>498</v>
      </c>
      <c r="C275" s="117" t="s">
        <v>884</v>
      </c>
      <c r="D275" s="118"/>
      <c r="E275" s="14" t="s">
        <v>1022</v>
      </c>
      <c r="F275" s="21">
        <v>0.1</v>
      </c>
      <c r="G275" s="59">
        <v>0</v>
      </c>
      <c r="H275" s="5"/>
    </row>
    <row r="276" spans="1:8" x14ac:dyDescent="0.25">
      <c r="A276" s="53"/>
      <c r="B276" s="15" t="s">
        <v>499</v>
      </c>
      <c r="C276" s="121" t="s">
        <v>885</v>
      </c>
      <c r="D276" s="122"/>
      <c r="E276" s="15"/>
      <c r="F276" s="43"/>
      <c r="G276" s="33"/>
      <c r="H276" s="5"/>
    </row>
    <row r="277" spans="1:8" x14ac:dyDescent="0.25">
      <c r="A277" s="4" t="s">
        <v>199</v>
      </c>
      <c r="B277" s="14" t="s">
        <v>500</v>
      </c>
      <c r="C277" s="117" t="s">
        <v>886</v>
      </c>
      <c r="D277" s="118"/>
      <c r="E277" s="14" t="s">
        <v>1023</v>
      </c>
      <c r="F277" s="21">
        <v>35</v>
      </c>
      <c r="G277" s="59">
        <v>0</v>
      </c>
      <c r="H277" s="5"/>
    </row>
    <row r="278" spans="1:8" x14ac:dyDescent="0.25">
      <c r="A278" s="4" t="s">
        <v>200</v>
      </c>
      <c r="B278" s="14" t="s">
        <v>501</v>
      </c>
      <c r="C278" s="117" t="s">
        <v>887</v>
      </c>
      <c r="D278" s="118"/>
      <c r="E278" s="14" t="s">
        <v>1023</v>
      </c>
      <c r="F278" s="21">
        <v>97.65</v>
      </c>
      <c r="G278" s="59">
        <v>0</v>
      </c>
      <c r="H278" s="5"/>
    </row>
    <row r="279" spans="1:8" ht="12.15" customHeight="1" x14ac:dyDescent="0.25">
      <c r="A279" s="4"/>
      <c r="B279" s="14"/>
      <c r="C279" s="133" t="s">
        <v>888</v>
      </c>
      <c r="D279" s="134"/>
      <c r="E279" s="133"/>
      <c r="F279" s="56">
        <v>97.65</v>
      </c>
      <c r="G279" s="31"/>
      <c r="H279" s="5"/>
    </row>
    <row r="280" spans="1:8" x14ac:dyDescent="0.25">
      <c r="A280" s="53"/>
      <c r="B280" s="15" t="s">
        <v>502</v>
      </c>
      <c r="C280" s="121" t="s">
        <v>889</v>
      </c>
      <c r="D280" s="122"/>
      <c r="E280" s="15"/>
      <c r="F280" s="43"/>
      <c r="G280" s="33"/>
      <c r="H280" s="5"/>
    </row>
    <row r="281" spans="1:8" x14ac:dyDescent="0.25">
      <c r="A281" s="4" t="s">
        <v>201</v>
      </c>
      <c r="B281" s="14" t="s">
        <v>503</v>
      </c>
      <c r="C281" s="117" t="s">
        <v>890</v>
      </c>
      <c r="D281" s="118"/>
      <c r="E281" s="14" t="s">
        <v>1024</v>
      </c>
      <c r="F281" s="21">
        <v>1</v>
      </c>
      <c r="G281" s="59">
        <v>0</v>
      </c>
      <c r="H281" s="5"/>
    </row>
    <row r="282" spans="1:8" x14ac:dyDescent="0.25">
      <c r="A282" s="4" t="s">
        <v>202</v>
      </c>
      <c r="B282" s="14" t="s">
        <v>503</v>
      </c>
      <c r="C282" s="117" t="s">
        <v>891</v>
      </c>
      <c r="D282" s="118"/>
      <c r="E282" s="14" t="s">
        <v>1024</v>
      </c>
      <c r="F282" s="21">
        <v>2</v>
      </c>
      <c r="G282" s="59">
        <v>0</v>
      </c>
      <c r="H282" s="5"/>
    </row>
    <row r="283" spans="1:8" x14ac:dyDescent="0.25">
      <c r="A283" s="53"/>
      <c r="B283" s="15" t="s">
        <v>97</v>
      </c>
      <c r="C283" s="121" t="s">
        <v>892</v>
      </c>
      <c r="D283" s="122"/>
      <c r="E283" s="15"/>
      <c r="F283" s="43"/>
      <c r="G283" s="33"/>
      <c r="H283" s="5"/>
    </row>
    <row r="284" spans="1:8" x14ac:dyDescent="0.25">
      <c r="A284" s="4" t="s">
        <v>203</v>
      </c>
      <c r="B284" s="14" t="s">
        <v>504</v>
      </c>
      <c r="C284" s="117" t="s">
        <v>893</v>
      </c>
      <c r="D284" s="118"/>
      <c r="E284" s="14" t="s">
        <v>1026</v>
      </c>
      <c r="F284" s="21">
        <v>31</v>
      </c>
      <c r="G284" s="59">
        <v>0</v>
      </c>
      <c r="H284" s="5"/>
    </row>
    <row r="285" spans="1:8" x14ac:dyDescent="0.25">
      <c r="A285" s="7" t="s">
        <v>204</v>
      </c>
      <c r="B285" s="16" t="s">
        <v>505</v>
      </c>
      <c r="C285" s="123" t="s">
        <v>894</v>
      </c>
      <c r="D285" s="124"/>
      <c r="E285" s="16" t="s">
        <v>1024</v>
      </c>
      <c r="F285" s="23">
        <v>31</v>
      </c>
      <c r="G285" s="60">
        <v>0</v>
      </c>
      <c r="H285" s="5"/>
    </row>
    <row r="286" spans="1:8" x14ac:dyDescent="0.25">
      <c r="A286" s="53"/>
      <c r="B286" s="15" t="s">
        <v>99</v>
      </c>
      <c r="C286" s="121" t="s">
        <v>895</v>
      </c>
      <c r="D286" s="122"/>
      <c r="E286" s="15"/>
      <c r="F286" s="43"/>
      <c r="G286" s="33"/>
      <c r="H286" s="5"/>
    </row>
    <row r="287" spans="1:8" x14ac:dyDescent="0.25">
      <c r="A287" s="4" t="s">
        <v>205</v>
      </c>
      <c r="B287" s="14" t="s">
        <v>506</v>
      </c>
      <c r="C287" s="117" t="s">
        <v>896</v>
      </c>
      <c r="D287" s="118"/>
      <c r="E287" s="14" t="s">
        <v>1024</v>
      </c>
      <c r="F287" s="21">
        <v>2</v>
      </c>
      <c r="G287" s="59">
        <v>0</v>
      </c>
      <c r="H287" s="5"/>
    </row>
    <row r="288" spans="1:8" x14ac:dyDescent="0.25">
      <c r="A288" s="4" t="s">
        <v>206</v>
      </c>
      <c r="B288" s="14" t="s">
        <v>507</v>
      </c>
      <c r="C288" s="117" t="s">
        <v>897</v>
      </c>
      <c r="D288" s="118"/>
      <c r="E288" s="14" t="s">
        <v>1024</v>
      </c>
      <c r="F288" s="21">
        <v>2</v>
      </c>
      <c r="G288" s="59">
        <v>0</v>
      </c>
      <c r="H288" s="5"/>
    </row>
    <row r="289" spans="1:8" x14ac:dyDescent="0.25">
      <c r="A289" s="4" t="s">
        <v>207</v>
      </c>
      <c r="B289" s="14" t="s">
        <v>508</v>
      </c>
      <c r="C289" s="117" t="s">
        <v>898</v>
      </c>
      <c r="D289" s="118"/>
      <c r="E289" s="14" t="s">
        <v>1024</v>
      </c>
      <c r="F289" s="21">
        <v>2</v>
      </c>
      <c r="G289" s="59">
        <v>0</v>
      </c>
      <c r="H289" s="5"/>
    </row>
    <row r="290" spans="1:8" x14ac:dyDescent="0.25">
      <c r="A290" s="53"/>
      <c r="B290" s="15" t="s">
        <v>103</v>
      </c>
      <c r="C290" s="121" t="s">
        <v>899</v>
      </c>
      <c r="D290" s="122"/>
      <c r="E290" s="15"/>
      <c r="F290" s="43"/>
      <c r="G290" s="33"/>
      <c r="H290" s="5"/>
    </row>
    <row r="291" spans="1:8" x14ac:dyDescent="0.25">
      <c r="A291" s="4" t="s">
        <v>208</v>
      </c>
      <c r="B291" s="14" t="s">
        <v>509</v>
      </c>
      <c r="C291" s="117" t="s">
        <v>900</v>
      </c>
      <c r="D291" s="118"/>
      <c r="E291" s="14" t="s">
        <v>1024</v>
      </c>
      <c r="F291" s="21">
        <v>3</v>
      </c>
      <c r="G291" s="59">
        <v>0</v>
      </c>
      <c r="H291" s="5"/>
    </row>
    <row r="292" spans="1:8" x14ac:dyDescent="0.25">
      <c r="A292" s="4" t="s">
        <v>209</v>
      </c>
      <c r="B292" s="14" t="s">
        <v>510</v>
      </c>
      <c r="C292" s="117" t="s">
        <v>901</v>
      </c>
      <c r="D292" s="118"/>
      <c r="E292" s="14" t="s">
        <v>1024</v>
      </c>
      <c r="F292" s="21">
        <v>4</v>
      </c>
      <c r="G292" s="59">
        <v>0</v>
      </c>
      <c r="H292" s="5"/>
    </row>
    <row r="293" spans="1:8" x14ac:dyDescent="0.25">
      <c r="A293" s="4" t="s">
        <v>210</v>
      </c>
      <c r="B293" s="14" t="s">
        <v>511</v>
      </c>
      <c r="C293" s="117" t="s">
        <v>902</v>
      </c>
      <c r="D293" s="118"/>
      <c r="E293" s="14" t="s">
        <v>1024</v>
      </c>
      <c r="F293" s="21">
        <v>2</v>
      </c>
      <c r="G293" s="59">
        <v>0</v>
      </c>
      <c r="H293" s="5"/>
    </row>
    <row r="294" spans="1:8" x14ac:dyDescent="0.25">
      <c r="A294" s="4" t="s">
        <v>211</v>
      </c>
      <c r="B294" s="14" t="s">
        <v>509</v>
      </c>
      <c r="C294" s="117" t="s">
        <v>903</v>
      </c>
      <c r="D294" s="118"/>
      <c r="E294" s="14" t="s">
        <v>1024</v>
      </c>
      <c r="F294" s="21">
        <v>4</v>
      </c>
      <c r="G294" s="59">
        <v>0</v>
      </c>
      <c r="H294" s="5"/>
    </row>
    <row r="295" spans="1:8" x14ac:dyDescent="0.25">
      <c r="A295" s="4" t="s">
        <v>212</v>
      </c>
      <c r="B295" s="14" t="s">
        <v>512</v>
      </c>
      <c r="C295" s="117" t="s">
        <v>904</v>
      </c>
      <c r="D295" s="118"/>
      <c r="E295" s="14" t="s">
        <v>1024</v>
      </c>
      <c r="F295" s="21">
        <v>2</v>
      </c>
      <c r="G295" s="59">
        <v>0</v>
      </c>
      <c r="H295" s="5"/>
    </row>
    <row r="296" spans="1:8" x14ac:dyDescent="0.25">
      <c r="A296" s="53"/>
      <c r="B296" s="15" t="s">
        <v>513</v>
      </c>
      <c r="C296" s="121" t="s">
        <v>905</v>
      </c>
      <c r="D296" s="122"/>
      <c r="E296" s="15"/>
      <c r="F296" s="43"/>
      <c r="G296" s="33"/>
      <c r="H296" s="5"/>
    </row>
    <row r="297" spans="1:8" x14ac:dyDescent="0.25">
      <c r="A297" s="4" t="s">
        <v>213</v>
      </c>
      <c r="B297" s="14" t="s">
        <v>514</v>
      </c>
      <c r="C297" s="117" t="s">
        <v>906</v>
      </c>
      <c r="D297" s="118"/>
      <c r="E297" s="14" t="s">
        <v>1022</v>
      </c>
      <c r="F297" s="21">
        <v>6.9</v>
      </c>
      <c r="G297" s="59">
        <v>0</v>
      </c>
      <c r="H297" s="5"/>
    </row>
    <row r="298" spans="1:8" x14ac:dyDescent="0.25">
      <c r="A298" s="53"/>
      <c r="B298" s="15" t="s">
        <v>515</v>
      </c>
      <c r="C298" s="121" t="s">
        <v>907</v>
      </c>
      <c r="D298" s="122"/>
      <c r="E298" s="15"/>
      <c r="F298" s="43"/>
      <c r="G298" s="33"/>
      <c r="H298" s="5"/>
    </row>
    <row r="299" spans="1:8" x14ac:dyDescent="0.25">
      <c r="A299" s="4" t="s">
        <v>214</v>
      </c>
      <c r="B299" s="14" t="s">
        <v>516</v>
      </c>
      <c r="C299" s="117" t="s">
        <v>908</v>
      </c>
      <c r="D299" s="118"/>
      <c r="E299" s="14" t="s">
        <v>1022</v>
      </c>
      <c r="F299" s="21">
        <v>2</v>
      </c>
      <c r="G299" s="59">
        <v>0</v>
      </c>
      <c r="H299" s="5"/>
    </row>
    <row r="300" spans="1:8" x14ac:dyDescent="0.25">
      <c r="A300" s="53"/>
      <c r="B300" s="15" t="s">
        <v>517</v>
      </c>
      <c r="C300" s="121" t="s">
        <v>909</v>
      </c>
      <c r="D300" s="122"/>
      <c r="E300" s="15"/>
      <c r="F300" s="43"/>
      <c r="G300" s="33"/>
      <c r="H300" s="5"/>
    </row>
    <row r="301" spans="1:8" x14ac:dyDescent="0.25">
      <c r="A301" s="4" t="s">
        <v>215</v>
      </c>
      <c r="B301" s="14" t="s">
        <v>518</v>
      </c>
      <c r="C301" s="117" t="s">
        <v>910</v>
      </c>
      <c r="D301" s="118"/>
      <c r="E301" s="14" t="s">
        <v>1022</v>
      </c>
      <c r="F301" s="21">
        <v>1.4</v>
      </c>
      <c r="G301" s="59">
        <v>0</v>
      </c>
      <c r="H301" s="5"/>
    </row>
    <row r="302" spans="1:8" x14ac:dyDescent="0.25">
      <c r="A302" s="53"/>
      <c r="B302" s="15" t="s">
        <v>519</v>
      </c>
      <c r="C302" s="121" t="s">
        <v>911</v>
      </c>
      <c r="D302" s="122"/>
      <c r="E302" s="15"/>
      <c r="F302" s="43"/>
      <c r="G302" s="33"/>
      <c r="H302" s="5"/>
    </row>
    <row r="303" spans="1:8" x14ac:dyDescent="0.25">
      <c r="A303" s="4" t="s">
        <v>216</v>
      </c>
      <c r="B303" s="14" t="s">
        <v>520</v>
      </c>
      <c r="C303" s="117" t="s">
        <v>912</v>
      </c>
      <c r="D303" s="118"/>
      <c r="E303" s="14" t="s">
        <v>1022</v>
      </c>
      <c r="F303" s="21">
        <v>10.6</v>
      </c>
      <c r="G303" s="59">
        <v>0</v>
      </c>
      <c r="H303" s="5"/>
    </row>
    <row r="304" spans="1:8" x14ac:dyDescent="0.25">
      <c r="A304" s="53"/>
      <c r="B304" s="15" t="s">
        <v>521</v>
      </c>
      <c r="C304" s="121" t="s">
        <v>913</v>
      </c>
      <c r="D304" s="122"/>
      <c r="E304" s="15"/>
      <c r="F304" s="43"/>
      <c r="G304" s="33"/>
      <c r="H304" s="5"/>
    </row>
    <row r="305" spans="1:8" x14ac:dyDescent="0.25">
      <c r="A305" s="4" t="s">
        <v>217</v>
      </c>
      <c r="B305" s="14" t="s">
        <v>522</v>
      </c>
      <c r="C305" s="117" t="s">
        <v>914</v>
      </c>
      <c r="D305" s="118"/>
      <c r="E305" s="14" t="s">
        <v>1022</v>
      </c>
      <c r="F305" s="21">
        <v>3.8</v>
      </c>
      <c r="G305" s="59">
        <v>0</v>
      </c>
      <c r="H305" s="5"/>
    </row>
    <row r="306" spans="1:8" x14ac:dyDescent="0.25">
      <c r="A306" s="53"/>
      <c r="B306" s="15" t="s">
        <v>523</v>
      </c>
      <c r="C306" s="121" t="s">
        <v>915</v>
      </c>
      <c r="D306" s="122"/>
      <c r="E306" s="15"/>
      <c r="F306" s="43"/>
      <c r="G306" s="33"/>
      <c r="H306" s="5"/>
    </row>
    <row r="307" spans="1:8" x14ac:dyDescent="0.25">
      <c r="A307" s="4" t="s">
        <v>218</v>
      </c>
      <c r="B307" s="14" t="s">
        <v>524</v>
      </c>
      <c r="C307" s="117" t="s">
        <v>916</v>
      </c>
      <c r="D307" s="118"/>
      <c r="E307" s="14" t="s">
        <v>1022</v>
      </c>
      <c r="F307" s="21">
        <v>0.2</v>
      </c>
      <c r="G307" s="59">
        <v>0</v>
      </c>
      <c r="H307" s="5"/>
    </row>
    <row r="308" spans="1:8" x14ac:dyDescent="0.25">
      <c r="A308" s="53"/>
      <c r="B308" s="15" t="s">
        <v>525</v>
      </c>
      <c r="C308" s="121" t="s">
        <v>917</v>
      </c>
      <c r="D308" s="122"/>
      <c r="E308" s="15"/>
      <c r="F308" s="43"/>
      <c r="G308" s="33"/>
      <c r="H308" s="5"/>
    </row>
    <row r="309" spans="1:8" x14ac:dyDescent="0.25">
      <c r="A309" s="4" t="s">
        <v>219</v>
      </c>
      <c r="B309" s="14" t="s">
        <v>526</v>
      </c>
      <c r="C309" s="117" t="s">
        <v>918</v>
      </c>
      <c r="D309" s="118"/>
      <c r="E309" s="14" t="s">
        <v>1022</v>
      </c>
      <c r="F309" s="21">
        <v>0.2</v>
      </c>
      <c r="G309" s="59">
        <v>0</v>
      </c>
      <c r="H309" s="5"/>
    </row>
    <row r="310" spans="1:8" x14ac:dyDescent="0.25">
      <c r="A310" s="53"/>
      <c r="B310" s="15" t="s">
        <v>527</v>
      </c>
      <c r="C310" s="121" t="s">
        <v>919</v>
      </c>
      <c r="D310" s="122"/>
      <c r="E310" s="15"/>
      <c r="F310" s="43"/>
      <c r="G310" s="33"/>
      <c r="H310" s="5"/>
    </row>
    <row r="311" spans="1:8" x14ac:dyDescent="0.25">
      <c r="A311" s="4" t="s">
        <v>220</v>
      </c>
      <c r="B311" s="14" t="s">
        <v>528</v>
      </c>
      <c r="C311" s="117" t="s">
        <v>920</v>
      </c>
      <c r="D311" s="118"/>
      <c r="E311" s="14" t="s">
        <v>1022</v>
      </c>
      <c r="F311" s="21">
        <v>0.1</v>
      </c>
      <c r="G311" s="59">
        <v>0</v>
      </c>
      <c r="H311" s="5"/>
    </row>
    <row r="312" spans="1:8" x14ac:dyDescent="0.25">
      <c r="A312" s="53"/>
      <c r="B312" s="15" t="s">
        <v>529</v>
      </c>
      <c r="C312" s="121" t="s">
        <v>704</v>
      </c>
      <c r="D312" s="122"/>
      <c r="E312" s="15"/>
      <c r="F312" s="43"/>
      <c r="G312" s="33"/>
      <c r="H312" s="5"/>
    </row>
    <row r="313" spans="1:8" x14ac:dyDescent="0.25">
      <c r="A313" s="4" t="s">
        <v>221</v>
      </c>
      <c r="B313" s="14" t="s">
        <v>530</v>
      </c>
      <c r="C313" s="117" t="s">
        <v>921</v>
      </c>
      <c r="D313" s="118"/>
      <c r="E313" s="14" t="s">
        <v>1022</v>
      </c>
      <c r="F313" s="21">
        <v>0.1</v>
      </c>
      <c r="G313" s="59">
        <v>0</v>
      </c>
      <c r="H313" s="5"/>
    </row>
    <row r="314" spans="1:8" x14ac:dyDescent="0.25">
      <c r="A314" s="53"/>
      <c r="B314" s="15" t="s">
        <v>531</v>
      </c>
      <c r="C314" s="121" t="s">
        <v>713</v>
      </c>
      <c r="D314" s="122"/>
      <c r="E314" s="15"/>
      <c r="F314" s="43"/>
      <c r="G314" s="33"/>
      <c r="H314" s="5"/>
    </row>
    <row r="315" spans="1:8" x14ac:dyDescent="0.25">
      <c r="A315" s="4" t="s">
        <v>222</v>
      </c>
      <c r="B315" s="14" t="s">
        <v>532</v>
      </c>
      <c r="C315" s="117" t="s">
        <v>922</v>
      </c>
      <c r="D315" s="118"/>
      <c r="E315" s="14" t="s">
        <v>1022</v>
      </c>
      <c r="F315" s="21">
        <v>0.1</v>
      </c>
      <c r="G315" s="59">
        <v>0</v>
      </c>
      <c r="H315" s="5"/>
    </row>
    <row r="316" spans="1:8" x14ac:dyDescent="0.25">
      <c r="A316" s="53"/>
      <c r="B316" s="15" t="s">
        <v>533</v>
      </c>
      <c r="C316" s="121" t="s">
        <v>722</v>
      </c>
      <c r="D316" s="122"/>
      <c r="E316" s="15"/>
      <c r="F316" s="43"/>
      <c r="G316" s="33"/>
      <c r="H316" s="5"/>
    </row>
    <row r="317" spans="1:8" x14ac:dyDescent="0.25">
      <c r="A317" s="4" t="s">
        <v>223</v>
      </c>
      <c r="B317" s="14" t="s">
        <v>534</v>
      </c>
      <c r="C317" s="117" t="s">
        <v>923</v>
      </c>
      <c r="D317" s="118"/>
      <c r="E317" s="14" t="s">
        <v>1022</v>
      </c>
      <c r="F317" s="21">
        <v>0.3</v>
      </c>
      <c r="G317" s="59">
        <v>0</v>
      </c>
      <c r="H317" s="5"/>
    </row>
    <row r="318" spans="1:8" x14ac:dyDescent="0.25">
      <c r="A318" s="53"/>
      <c r="B318" s="15" t="s">
        <v>535</v>
      </c>
      <c r="C318" s="121" t="s">
        <v>738</v>
      </c>
      <c r="D318" s="122"/>
      <c r="E318" s="15"/>
      <c r="F318" s="43"/>
      <c r="G318" s="33"/>
      <c r="H318" s="5"/>
    </row>
    <row r="319" spans="1:8" x14ac:dyDescent="0.25">
      <c r="A319" s="4" t="s">
        <v>224</v>
      </c>
      <c r="B319" s="14" t="s">
        <v>536</v>
      </c>
      <c r="C319" s="117" t="s">
        <v>924</v>
      </c>
      <c r="D319" s="118"/>
      <c r="E319" s="14" t="s">
        <v>1022</v>
      </c>
      <c r="F319" s="21">
        <v>2.1</v>
      </c>
      <c r="G319" s="59">
        <v>0</v>
      </c>
      <c r="H319" s="5"/>
    </row>
    <row r="320" spans="1:8" x14ac:dyDescent="0.25">
      <c r="A320" s="53"/>
      <c r="B320" s="15" t="s">
        <v>537</v>
      </c>
      <c r="C320" s="121" t="s">
        <v>767</v>
      </c>
      <c r="D320" s="122"/>
      <c r="E320" s="15"/>
      <c r="F320" s="43"/>
      <c r="G320" s="33"/>
      <c r="H320" s="5"/>
    </row>
    <row r="321" spans="1:8" x14ac:dyDescent="0.25">
      <c r="A321" s="4" t="s">
        <v>225</v>
      </c>
      <c r="B321" s="14" t="s">
        <v>538</v>
      </c>
      <c r="C321" s="117" t="s">
        <v>925</v>
      </c>
      <c r="D321" s="118"/>
      <c r="E321" s="14" t="s">
        <v>1022</v>
      </c>
      <c r="F321" s="21">
        <v>0.5</v>
      </c>
      <c r="G321" s="59">
        <v>0</v>
      </c>
      <c r="H321" s="5"/>
    </row>
    <row r="322" spans="1:8" x14ac:dyDescent="0.25">
      <c r="A322" s="53"/>
      <c r="B322" s="15" t="s">
        <v>539</v>
      </c>
      <c r="C322" s="121" t="s">
        <v>789</v>
      </c>
      <c r="D322" s="122"/>
      <c r="E322" s="15"/>
      <c r="F322" s="43"/>
      <c r="G322" s="33"/>
      <c r="H322" s="5"/>
    </row>
    <row r="323" spans="1:8" x14ac:dyDescent="0.25">
      <c r="A323" s="4" t="s">
        <v>226</v>
      </c>
      <c r="B323" s="14" t="s">
        <v>540</v>
      </c>
      <c r="C323" s="117" t="s">
        <v>926</v>
      </c>
      <c r="D323" s="118"/>
      <c r="E323" s="14" t="s">
        <v>1022</v>
      </c>
      <c r="F323" s="21">
        <v>0.6</v>
      </c>
      <c r="G323" s="59">
        <v>0</v>
      </c>
      <c r="H323" s="5"/>
    </row>
    <row r="324" spans="1:8" x14ac:dyDescent="0.25">
      <c r="A324" s="53"/>
      <c r="B324" s="15" t="s">
        <v>541</v>
      </c>
      <c r="C324" s="121" t="s">
        <v>798</v>
      </c>
      <c r="D324" s="122"/>
      <c r="E324" s="15"/>
      <c r="F324" s="43"/>
      <c r="G324" s="33"/>
      <c r="H324" s="5"/>
    </row>
    <row r="325" spans="1:8" x14ac:dyDescent="0.25">
      <c r="A325" s="4" t="s">
        <v>227</v>
      </c>
      <c r="B325" s="14" t="s">
        <v>542</v>
      </c>
      <c r="C325" s="117" t="s">
        <v>927</v>
      </c>
      <c r="D325" s="118"/>
      <c r="E325" s="14" t="s">
        <v>1022</v>
      </c>
      <c r="F325" s="21">
        <v>0.2</v>
      </c>
      <c r="G325" s="59">
        <v>0</v>
      </c>
      <c r="H325" s="5"/>
    </row>
    <row r="326" spans="1:8" x14ac:dyDescent="0.25">
      <c r="A326" s="53"/>
      <c r="B326" s="15" t="s">
        <v>543</v>
      </c>
      <c r="C326" s="121" t="s">
        <v>928</v>
      </c>
      <c r="D326" s="122"/>
      <c r="E326" s="15"/>
      <c r="F326" s="43"/>
      <c r="G326" s="33"/>
      <c r="H326" s="5"/>
    </row>
    <row r="327" spans="1:8" x14ac:dyDescent="0.25">
      <c r="A327" s="4" t="s">
        <v>228</v>
      </c>
      <c r="B327" s="14" t="s">
        <v>544</v>
      </c>
      <c r="C327" s="117" t="s">
        <v>929</v>
      </c>
      <c r="D327" s="118"/>
      <c r="E327" s="14" t="s">
        <v>1029</v>
      </c>
      <c r="F327" s="21">
        <v>10</v>
      </c>
      <c r="G327" s="59">
        <v>0</v>
      </c>
      <c r="H327" s="5"/>
    </row>
    <row r="328" spans="1:8" x14ac:dyDescent="0.25">
      <c r="A328" s="4" t="s">
        <v>229</v>
      </c>
      <c r="B328" s="14" t="s">
        <v>545</v>
      </c>
      <c r="C328" s="117" t="s">
        <v>930</v>
      </c>
      <c r="D328" s="118"/>
      <c r="E328" s="14" t="s">
        <v>1030</v>
      </c>
      <c r="F328" s="21">
        <v>12</v>
      </c>
      <c r="G328" s="59">
        <v>0</v>
      </c>
      <c r="H328" s="5"/>
    </row>
    <row r="329" spans="1:8" x14ac:dyDescent="0.25">
      <c r="A329" s="4" t="s">
        <v>230</v>
      </c>
      <c r="B329" s="14" t="s">
        <v>546</v>
      </c>
      <c r="C329" s="117" t="s">
        <v>931</v>
      </c>
      <c r="D329" s="118"/>
      <c r="E329" s="14" t="s">
        <v>1022</v>
      </c>
      <c r="F329" s="21">
        <v>1.7</v>
      </c>
      <c r="G329" s="59">
        <v>0</v>
      </c>
      <c r="H329" s="5"/>
    </row>
    <row r="330" spans="1:8" x14ac:dyDescent="0.25">
      <c r="A330" s="53"/>
      <c r="B330" s="15" t="s">
        <v>547</v>
      </c>
      <c r="C330" s="121" t="s">
        <v>932</v>
      </c>
      <c r="D330" s="122"/>
      <c r="E330" s="15"/>
      <c r="F330" s="43"/>
      <c r="G330" s="33"/>
      <c r="H330" s="5"/>
    </row>
    <row r="331" spans="1:8" x14ac:dyDescent="0.25">
      <c r="A331" s="4" t="s">
        <v>231</v>
      </c>
      <c r="B331" s="14" t="s">
        <v>548</v>
      </c>
      <c r="C331" s="117" t="s">
        <v>933</v>
      </c>
      <c r="D331" s="118"/>
      <c r="E331" s="14" t="s">
        <v>1024</v>
      </c>
      <c r="F331" s="21">
        <v>2</v>
      </c>
      <c r="G331" s="59">
        <v>0</v>
      </c>
      <c r="H331" s="5"/>
    </row>
    <row r="332" spans="1:8" x14ac:dyDescent="0.25">
      <c r="A332" s="4" t="s">
        <v>232</v>
      </c>
      <c r="B332" s="14" t="s">
        <v>549</v>
      </c>
      <c r="C332" s="117" t="s">
        <v>934</v>
      </c>
      <c r="D332" s="118"/>
      <c r="E332" s="14" t="s">
        <v>1024</v>
      </c>
      <c r="F332" s="21">
        <v>1</v>
      </c>
      <c r="G332" s="59">
        <v>0</v>
      </c>
      <c r="H332" s="5"/>
    </row>
    <row r="333" spans="1:8" x14ac:dyDescent="0.25">
      <c r="A333" s="4" t="s">
        <v>233</v>
      </c>
      <c r="B333" s="14" t="s">
        <v>550</v>
      </c>
      <c r="C333" s="117" t="s">
        <v>935</v>
      </c>
      <c r="D333" s="118"/>
      <c r="E333" s="14" t="s">
        <v>1024</v>
      </c>
      <c r="F333" s="21">
        <v>1</v>
      </c>
      <c r="G333" s="59">
        <v>0</v>
      </c>
      <c r="H333" s="5"/>
    </row>
    <row r="334" spans="1:8" x14ac:dyDescent="0.25">
      <c r="A334" s="4" t="s">
        <v>234</v>
      </c>
      <c r="B334" s="14" t="s">
        <v>551</v>
      </c>
      <c r="C334" s="117" t="s">
        <v>936</v>
      </c>
      <c r="D334" s="118"/>
      <c r="E334" s="14" t="s">
        <v>1024</v>
      </c>
      <c r="F334" s="21">
        <v>1</v>
      </c>
      <c r="G334" s="59">
        <v>0</v>
      </c>
      <c r="H334" s="5"/>
    </row>
    <row r="335" spans="1:8" x14ac:dyDescent="0.25">
      <c r="A335" s="4" t="s">
        <v>235</v>
      </c>
      <c r="B335" s="14" t="s">
        <v>552</v>
      </c>
      <c r="C335" s="117" t="s">
        <v>937</v>
      </c>
      <c r="D335" s="118"/>
      <c r="E335" s="14" t="s">
        <v>1024</v>
      </c>
      <c r="F335" s="21">
        <v>1</v>
      </c>
      <c r="G335" s="59">
        <v>0</v>
      </c>
      <c r="H335" s="5"/>
    </row>
    <row r="336" spans="1:8" x14ac:dyDescent="0.25">
      <c r="A336" s="4" t="s">
        <v>236</v>
      </c>
      <c r="B336" s="14" t="s">
        <v>553</v>
      </c>
      <c r="C336" s="117" t="s">
        <v>938</v>
      </c>
      <c r="D336" s="118"/>
      <c r="E336" s="14" t="s">
        <v>1024</v>
      </c>
      <c r="F336" s="21">
        <v>1</v>
      </c>
      <c r="G336" s="59">
        <v>0</v>
      </c>
      <c r="H336" s="5"/>
    </row>
    <row r="337" spans="1:8" x14ac:dyDescent="0.25">
      <c r="A337" s="53"/>
      <c r="B337" s="15" t="s">
        <v>554</v>
      </c>
      <c r="C337" s="121" t="s">
        <v>939</v>
      </c>
      <c r="D337" s="122"/>
      <c r="E337" s="15"/>
      <c r="F337" s="43"/>
      <c r="G337" s="33"/>
      <c r="H337" s="5"/>
    </row>
    <row r="338" spans="1:8" x14ac:dyDescent="0.25">
      <c r="A338" s="4" t="s">
        <v>237</v>
      </c>
      <c r="B338" s="14" t="s">
        <v>555</v>
      </c>
      <c r="C338" s="117" t="s">
        <v>940</v>
      </c>
      <c r="D338" s="118"/>
      <c r="E338" s="14" t="s">
        <v>1026</v>
      </c>
      <c r="F338" s="21">
        <v>3</v>
      </c>
      <c r="G338" s="59">
        <v>0</v>
      </c>
      <c r="H338" s="5"/>
    </row>
    <row r="339" spans="1:8" x14ac:dyDescent="0.25">
      <c r="A339" s="4" t="s">
        <v>238</v>
      </c>
      <c r="B339" s="14" t="s">
        <v>556</v>
      </c>
      <c r="C339" s="117" t="s">
        <v>941</v>
      </c>
      <c r="D339" s="118"/>
      <c r="E339" s="14" t="s">
        <v>1026</v>
      </c>
      <c r="F339" s="21">
        <v>20</v>
      </c>
      <c r="G339" s="59">
        <v>0</v>
      </c>
      <c r="H339" s="5"/>
    </row>
    <row r="340" spans="1:8" x14ac:dyDescent="0.25">
      <c r="A340" s="4" t="s">
        <v>239</v>
      </c>
      <c r="B340" s="14" t="s">
        <v>557</v>
      </c>
      <c r="C340" s="117" t="s">
        <v>942</v>
      </c>
      <c r="D340" s="118"/>
      <c r="E340" s="14" t="s">
        <v>1024</v>
      </c>
      <c r="F340" s="21">
        <v>1</v>
      </c>
      <c r="G340" s="59">
        <v>0</v>
      </c>
      <c r="H340" s="5"/>
    </row>
    <row r="341" spans="1:8" x14ac:dyDescent="0.25">
      <c r="A341" s="4" t="s">
        <v>240</v>
      </c>
      <c r="B341" s="14" t="s">
        <v>558</v>
      </c>
      <c r="C341" s="117" t="s">
        <v>943</v>
      </c>
      <c r="D341" s="118"/>
      <c r="E341" s="14" t="s">
        <v>1024</v>
      </c>
      <c r="F341" s="21">
        <v>4</v>
      </c>
      <c r="G341" s="59">
        <v>0</v>
      </c>
      <c r="H341" s="5"/>
    </row>
    <row r="342" spans="1:8" x14ac:dyDescent="0.25">
      <c r="A342" s="4" t="s">
        <v>241</v>
      </c>
      <c r="B342" s="14" t="s">
        <v>559</v>
      </c>
      <c r="C342" s="117" t="s">
        <v>944</v>
      </c>
      <c r="D342" s="118"/>
      <c r="E342" s="14" t="s">
        <v>1024</v>
      </c>
      <c r="F342" s="21">
        <v>4</v>
      </c>
      <c r="G342" s="59">
        <v>0</v>
      </c>
      <c r="H342" s="5"/>
    </row>
    <row r="343" spans="1:8" x14ac:dyDescent="0.25">
      <c r="A343" s="4" t="s">
        <v>242</v>
      </c>
      <c r="B343" s="14" t="s">
        <v>560</v>
      </c>
      <c r="C343" s="117" t="s">
        <v>945</v>
      </c>
      <c r="D343" s="118"/>
      <c r="E343" s="14" t="s">
        <v>1024</v>
      </c>
      <c r="F343" s="21">
        <v>1</v>
      </c>
      <c r="G343" s="59">
        <v>0</v>
      </c>
      <c r="H343" s="5"/>
    </row>
    <row r="344" spans="1:8" x14ac:dyDescent="0.25">
      <c r="A344" s="4" t="s">
        <v>243</v>
      </c>
      <c r="B344" s="14" t="s">
        <v>561</v>
      </c>
      <c r="C344" s="117" t="s">
        <v>946</v>
      </c>
      <c r="D344" s="118"/>
      <c r="E344" s="14" t="s">
        <v>1024</v>
      </c>
      <c r="F344" s="21">
        <v>1</v>
      </c>
      <c r="G344" s="59">
        <v>0</v>
      </c>
      <c r="H344" s="5"/>
    </row>
    <row r="345" spans="1:8" x14ac:dyDescent="0.25">
      <c r="A345" s="4" t="s">
        <v>244</v>
      </c>
      <c r="B345" s="14" t="s">
        <v>562</v>
      </c>
      <c r="C345" s="117" t="s">
        <v>947</v>
      </c>
      <c r="D345" s="118"/>
      <c r="E345" s="14" t="s">
        <v>1024</v>
      </c>
      <c r="F345" s="21">
        <v>8</v>
      </c>
      <c r="G345" s="59">
        <v>0</v>
      </c>
      <c r="H345" s="5"/>
    </row>
    <row r="346" spans="1:8" x14ac:dyDescent="0.25">
      <c r="A346" s="4" t="s">
        <v>245</v>
      </c>
      <c r="B346" s="14" t="s">
        <v>562</v>
      </c>
      <c r="C346" s="117" t="s">
        <v>948</v>
      </c>
      <c r="D346" s="118"/>
      <c r="E346" s="14" t="s">
        <v>1024</v>
      </c>
      <c r="F346" s="21">
        <v>1</v>
      </c>
      <c r="G346" s="59">
        <v>0</v>
      </c>
      <c r="H346" s="5"/>
    </row>
    <row r="347" spans="1:8" x14ac:dyDescent="0.25">
      <c r="A347" s="4" t="s">
        <v>246</v>
      </c>
      <c r="B347" s="14" t="s">
        <v>562</v>
      </c>
      <c r="C347" s="117" t="s">
        <v>949</v>
      </c>
      <c r="D347" s="118"/>
      <c r="E347" s="14" t="s">
        <v>1025</v>
      </c>
      <c r="F347" s="21">
        <v>1</v>
      </c>
      <c r="G347" s="59">
        <v>0</v>
      </c>
      <c r="H347" s="5"/>
    </row>
    <row r="348" spans="1:8" x14ac:dyDescent="0.25">
      <c r="A348" s="4" t="s">
        <v>247</v>
      </c>
      <c r="B348" s="14" t="s">
        <v>562</v>
      </c>
      <c r="C348" s="117" t="s">
        <v>950</v>
      </c>
      <c r="D348" s="118"/>
      <c r="E348" s="14" t="s">
        <v>1025</v>
      </c>
      <c r="F348" s="21">
        <v>1</v>
      </c>
      <c r="G348" s="59">
        <v>0</v>
      </c>
      <c r="H348" s="5"/>
    </row>
    <row r="349" spans="1:8" x14ac:dyDescent="0.25">
      <c r="A349" s="4" t="s">
        <v>248</v>
      </c>
      <c r="B349" s="14" t="s">
        <v>563</v>
      </c>
      <c r="C349" s="117" t="s">
        <v>951</v>
      </c>
      <c r="D349" s="118"/>
      <c r="E349" s="14" t="s">
        <v>1026</v>
      </c>
      <c r="F349" s="21">
        <v>3</v>
      </c>
      <c r="G349" s="59">
        <v>0</v>
      </c>
      <c r="H349" s="5"/>
    </row>
    <row r="350" spans="1:8" x14ac:dyDescent="0.25">
      <c r="A350" s="4" t="s">
        <v>249</v>
      </c>
      <c r="B350" s="14" t="s">
        <v>564</v>
      </c>
      <c r="C350" s="117" t="s">
        <v>952</v>
      </c>
      <c r="D350" s="118"/>
      <c r="E350" s="14" t="s">
        <v>1026</v>
      </c>
      <c r="F350" s="21">
        <v>10</v>
      </c>
      <c r="G350" s="59">
        <v>0</v>
      </c>
      <c r="H350" s="5"/>
    </row>
    <row r="351" spans="1:8" x14ac:dyDescent="0.25">
      <c r="A351" s="4" t="s">
        <v>250</v>
      </c>
      <c r="B351" s="14" t="s">
        <v>565</v>
      </c>
      <c r="C351" s="117" t="s">
        <v>953</v>
      </c>
      <c r="D351" s="118"/>
      <c r="E351" s="14" t="s">
        <v>1026</v>
      </c>
      <c r="F351" s="21">
        <v>90</v>
      </c>
      <c r="G351" s="59">
        <v>0</v>
      </c>
      <c r="H351" s="5"/>
    </row>
    <row r="352" spans="1:8" x14ac:dyDescent="0.25">
      <c r="A352" s="4" t="s">
        <v>251</v>
      </c>
      <c r="B352" s="14" t="s">
        <v>566</v>
      </c>
      <c r="C352" s="117" t="s">
        <v>954</v>
      </c>
      <c r="D352" s="118"/>
      <c r="E352" s="14" t="s">
        <v>1026</v>
      </c>
      <c r="F352" s="21">
        <v>15</v>
      </c>
      <c r="G352" s="59">
        <v>0</v>
      </c>
      <c r="H352" s="5"/>
    </row>
    <row r="353" spans="1:8" x14ac:dyDescent="0.25">
      <c r="A353" s="4" t="s">
        <v>252</v>
      </c>
      <c r="B353" s="14" t="s">
        <v>567</v>
      </c>
      <c r="C353" s="117" t="s">
        <v>955</v>
      </c>
      <c r="D353" s="118"/>
      <c r="E353" s="14" t="s">
        <v>1026</v>
      </c>
      <c r="F353" s="21">
        <v>90</v>
      </c>
      <c r="G353" s="59">
        <v>0</v>
      </c>
      <c r="H353" s="5"/>
    </row>
    <row r="354" spans="1:8" x14ac:dyDescent="0.25">
      <c r="A354" s="4" t="s">
        <v>253</v>
      </c>
      <c r="B354" s="14" t="s">
        <v>568</v>
      </c>
      <c r="C354" s="117" t="s">
        <v>956</v>
      </c>
      <c r="D354" s="118"/>
      <c r="E354" s="14" t="s">
        <v>1024</v>
      </c>
      <c r="F354" s="21">
        <v>8</v>
      </c>
      <c r="G354" s="59">
        <v>0</v>
      </c>
      <c r="H354" s="5"/>
    </row>
    <row r="355" spans="1:8" x14ac:dyDescent="0.25">
      <c r="A355" s="4" t="s">
        <v>254</v>
      </c>
      <c r="B355" s="14" t="s">
        <v>569</v>
      </c>
      <c r="C355" s="117" t="s">
        <v>957</v>
      </c>
      <c r="D355" s="118"/>
      <c r="E355" s="14" t="s">
        <v>1024</v>
      </c>
      <c r="F355" s="21">
        <v>35</v>
      </c>
      <c r="G355" s="59">
        <v>0</v>
      </c>
      <c r="H355" s="5"/>
    </row>
    <row r="356" spans="1:8" x14ac:dyDescent="0.25">
      <c r="A356" s="4" t="s">
        <v>255</v>
      </c>
      <c r="B356" s="14" t="s">
        <v>570</v>
      </c>
      <c r="C356" s="117" t="s">
        <v>958</v>
      </c>
      <c r="D356" s="118"/>
      <c r="E356" s="14" t="s">
        <v>1024</v>
      </c>
      <c r="F356" s="21">
        <v>1</v>
      </c>
      <c r="G356" s="59">
        <v>0</v>
      </c>
      <c r="H356" s="5"/>
    </row>
    <row r="357" spans="1:8" ht="12.15" customHeight="1" x14ac:dyDescent="0.25">
      <c r="A357" s="4"/>
      <c r="B357" s="14"/>
      <c r="C357" s="133" t="s">
        <v>959</v>
      </c>
      <c r="D357" s="134"/>
      <c r="E357" s="133"/>
      <c r="F357" s="56">
        <v>0</v>
      </c>
      <c r="G357" s="31"/>
      <c r="H357" s="5"/>
    </row>
    <row r="358" spans="1:8" x14ac:dyDescent="0.25">
      <c r="A358" s="4" t="s">
        <v>256</v>
      </c>
      <c r="B358" s="14" t="s">
        <v>571</v>
      </c>
      <c r="C358" s="117" t="s">
        <v>960</v>
      </c>
      <c r="D358" s="118"/>
      <c r="E358" s="14" t="s">
        <v>1024</v>
      </c>
      <c r="F358" s="21">
        <v>1</v>
      </c>
      <c r="G358" s="59">
        <v>0</v>
      </c>
      <c r="H358" s="5"/>
    </row>
    <row r="359" spans="1:8" x14ac:dyDescent="0.25">
      <c r="A359" s="4" t="s">
        <v>257</v>
      </c>
      <c r="B359" s="14" t="s">
        <v>572</v>
      </c>
      <c r="C359" s="117" t="s">
        <v>961</v>
      </c>
      <c r="D359" s="118"/>
      <c r="E359" s="14" t="s">
        <v>1024</v>
      </c>
      <c r="F359" s="21">
        <v>1</v>
      </c>
      <c r="G359" s="59">
        <v>0</v>
      </c>
      <c r="H359" s="5"/>
    </row>
    <row r="360" spans="1:8" x14ac:dyDescent="0.25">
      <c r="A360" s="4" t="s">
        <v>258</v>
      </c>
      <c r="B360" s="14" t="s">
        <v>572</v>
      </c>
      <c r="C360" s="117" t="s">
        <v>962</v>
      </c>
      <c r="D360" s="118"/>
      <c r="E360" s="14" t="s">
        <v>1024</v>
      </c>
      <c r="F360" s="21">
        <v>1</v>
      </c>
      <c r="G360" s="59">
        <v>0</v>
      </c>
      <c r="H360" s="5"/>
    </row>
    <row r="361" spans="1:8" x14ac:dyDescent="0.25">
      <c r="A361" s="4" t="s">
        <v>259</v>
      </c>
      <c r="B361" s="14" t="s">
        <v>573</v>
      </c>
      <c r="C361" s="117" t="s">
        <v>963</v>
      </c>
      <c r="D361" s="118"/>
      <c r="E361" s="14" t="s">
        <v>1024</v>
      </c>
      <c r="F361" s="21">
        <v>4</v>
      </c>
      <c r="G361" s="59">
        <v>0</v>
      </c>
      <c r="H361" s="5"/>
    </row>
    <row r="362" spans="1:8" x14ac:dyDescent="0.25">
      <c r="A362" s="4" t="s">
        <v>260</v>
      </c>
      <c r="B362" s="14" t="s">
        <v>574</v>
      </c>
      <c r="C362" s="117" t="s">
        <v>964</v>
      </c>
      <c r="D362" s="118"/>
      <c r="E362" s="14" t="s">
        <v>1024</v>
      </c>
      <c r="F362" s="21">
        <v>5</v>
      </c>
      <c r="G362" s="59">
        <v>0</v>
      </c>
      <c r="H362" s="5"/>
    </row>
    <row r="363" spans="1:8" x14ac:dyDescent="0.25">
      <c r="A363" s="4" t="s">
        <v>261</v>
      </c>
      <c r="B363" s="14" t="s">
        <v>575</v>
      </c>
      <c r="C363" s="117" t="s">
        <v>965</v>
      </c>
      <c r="D363" s="118"/>
      <c r="E363" s="14" t="s">
        <v>1026</v>
      </c>
      <c r="F363" s="21">
        <v>20</v>
      </c>
      <c r="G363" s="59">
        <v>0</v>
      </c>
      <c r="H363" s="5"/>
    </row>
    <row r="364" spans="1:8" x14ac:dyDescent="0.25">
      <c r="A364" s="4" t="s">
        <v>262</v>
      </c>
      <c r="B364" s="14" t="s">
        <v>576</v>
      </c>
      <c r="C364" s="117" t="s">
        <v>966</v>
      </c>
      <c r="D364" s="118"/>
      <c r="E364" s="14" t="s">
        <v>1024</v>
      </c>
      <c r="F364" s="21">
        <v>1</v>
      </c>
      <c r="G364" s="59">
        <v>0</v>
      </c>
      <c r="H364" s="5"/>
    </row>
    <row r="365" spans="1:8" ht="12.15" customHeight="1" x14ac:dyDescent="0.25">
      <c r="A365" s="4"/>
      <c r="B365" s="14"/>
      <c r="C365" s="133" t="s">
        <v>959</v>
      </c>
      <c r="D365" s="134"/>
      <c r="E365" s="133"/>
      <c r="F365" s="56">
        <v>0</v>
      </c>
      <c r="G365" s="31"/>
      <c r="H365" s="5"/>
    </row>
    <row r="366" spans="1:8" x14ac:dyDescent="0.25">
      <c r="A366" s="4" t="s">
        <v>263</v>
      </c>
      <c r="B366" s="14" t="s">
        <v>571</v>
      </c>
      <c r="C366" s="117" t="s">
        <v>967</v>
      </c>
      <c r="D366" s="118"/>
      <c r="E366" s="14" t="s">
        <v>1024</v>
      </c>
      <c r="F366" s="21">
        <v>1</v>
      </c>
      <c r="G366" s="59">
        <v>0</v>
      </c>
      <c r="H366" s="5"/>
    </row>
    <row r="367" spans="1:8" x14ac:dyDescent="0.25">
      <c r="A367" s="7" t="s">
        <v>264</v>
      </c>
      <c r="B367" s="16" t="s">
        <v>577</v>
      </c>
      <c r="C367" s="123" t="s">
        <v>968</v>
      </c>
      <c r="D367" s="124"/>
      <c r="E367" s="16" t="s">
        <v>1024</v>
      </c>
      <c r="F367" s="23">
        <v>1</v>
      </c>
      <c r="G367" s="60">
        <v>0</v>
      </c>
      <c r="H367" s="5"/>
    </row>
    <row r="368" spans="1:8" ht="12.15" customHeight="1" x14ac:dyDescent="0.25">
      <c r="A368" s="7"/>
      <c r="B368" s="16"/>
      <c r="C368" s="135" t="s">
        <v>959</v>
      </c>
      <c r="D368" s="136"/>
      <c r="E368" s="135"/>
      <c r="F368" s="57">
        <v>0</v>
      </c>
      <c r="G368" s="34"/>
      <c r="H368" s="5"/>
    </row>
    <row r="369" spans="1:8" x14ac:dyDescent="0.25">
      <c r="A369" s="7" t="s">
        <v>265</v>
      </c>
      <c r="B369" s="16" t="s">
        <v>578</v>
      </c>
      <c r="C369" s="123" t="s">
        <v>969</v>
      </c>
      <c r="D369" s="124"/>
      <c r="E369" s="16" t="s">
        <v>1024</v>
      </c>
      <c r="F369" s="23">
        <v>1</v>
      </c>
      <c r="G369" s="60">
        <v>0</v>
      </c>
      <c r="H369" s="5"/>
    </row>
    <row r="370" spans="1:8" x14ac:dyDescent="0.25">
      <c r="A370" s="7" t="s">
        <v>266</v>
      </c>
      <c r="B370" s="16" t="s">
        <v>579</v>
      </c>
      <c r="C370" s="123" t="s">
        <v>970</v>
      </c>
      <c r="D370" s="124"/>
      <c r="E370" s="16" t="s">
        <v>1024</v>
      </c>
      <c r="F370" s="23">
        <v>1</v>
      </c>
      <c r="G370" s="60">
        <v>0</v>
      </c>
      <c r="H370" s="5"/>
    </row>
    <row r="371" spans="1:8" x14ac:dyDescent="0.25">
      <c r="A371" s="7" t="s">
        <v>267</v>
      </c>
      <c r="B371" s="16" t="s">
        <v>580</v>
      </c>
      <c r="C371" s="123" t="s">
        <v>971</v>
      </c>
      <c r="D371" s="124"/>
      <c r="E371" s="16" t="s">
        <v>1024</v>
      </c>
      <c r="F371" s="23">
        <v>1</v>
      </c>
      <c r="G371" s="60">
        <v>0</v>
      </c>
      <c r="H371" s="5"/>
    </row>
    <row r="372" spans="1:8" x14ac:dyDescent="0.25">
      <c r="A372" s="4" t="s">
        <v>268</v>
      </c>
      <c r="B372" s="14" t="s">
        <v>581</v>
      </c>
      <c r="C372" s="117" t="s">
        <v>972</v>
      </c>
      <c r="D372" s="118"/>
      <c r="E372" s="14" t="s">
        <v>1024</v>
      </c>
      <c r="F372" s="21">
        <v>1</v>
      </c>
      <c r="G372" s="59">
        <v>0</v>
      </c>
      <c r="H372" s="5"/>
    </row>
    <row r="373" spans="1:8" x14ac:dyDescent="0.25">
      <c r="A373" s="7" t="s">
        <v>269</v>
      </c>
      <c r="B373" s="16" t="s">
        <v>582</v>
      </c>
      <c r="C373" s="123" t="s">
        <v>973</v>
      </c>
      <c r="D373" s="124"/>
      <c r="E373" s="16" t="s">
        <v>1024</v>
      </c>
      <c r="F373" s="23">
        <v>1</v>
      </c>
      <c r="G373" s="60">
        <v>0</v>
      </c>
      <c r="H373" s="5"/>
    </row>
    <row r="374" spans="1:8" x14ac:dyDescent="0.25">
      <c r="A374" s="4" t="s">
        <v>270</v>
      </c>
      <c r="B374" s="14" t="s">
        <v>583</v>
      </c>
      <c r="C374" s="117" t="s">
        <v>974</v>
      </c>
      <c r="D374" s="118"/>
      <c r="E374" s="14" t="s">
        <v>1024</v>
      </c>
      <c r="F374" s="21">
        <v>30</v>
      </c>
      <c r="G374" s="59">
        <v>0</v>
      </c>
      <c r="H374" s="5"/>
    </row>
    <row r="375" spans="1:8" x14ac:dyDescent="0.25">
      <c r="A375" s="53"/>
      <c r="B375" s="15" t="s">
        <v>584</v>
      </c>
      <c r="C375" s="121" t="s">
        <v>975</v>
      </c>
      <c r="D375" s="122"/>
      <c r="E375" s="15"/>
      <c r="F375" s="43"/>
      <c r="G375" s="33"/>
      <c r="H375" s="5"/>
    </row>
    <row r="376" spans="1:8" x14ac:dyDescent="0.25">
      <c r="A376" s="4" t="s">
        <v>271</v>
      </c>
      <c r="B376" s="14" t="s">
        <v>585</v>
      </c>
      <c r="C376" s="117" t="s">
        <v>976</v>
      </c>
      <c r="D376" s="118"/>
      <c r="E376" s="14" t="s">
        <v>1026</v>
      </c>
      <c r="F376" s="21">
        <v>14</v>
      </c>
      <c r="G376" s="59">
        <v>0</v>
      </c>
      <c r="H376" s="5"/>
    </row>
    <row r="377" spans="1:8" x14ac:dyDescent="0.25">
      <c r="A377" s="4" t="s">
        <v>272</v>
      </c>
      <c r="B377" s="14" t="s">
        <v>586</v>
      </c>
      <c r="C377" s="117" t="s">
        <v>977</v>
      </c>
      <c r="D377" s="118"/>
      <c r="E377" s="14" t="s">
        <v>1026</v>
      </c>
      <c r="F377" s="21">
        <v>14</v>
      </c>
      <c r="G377" s="59">
        <v>0</v>
      </c>
      <c r="H377" s="5"/>
    </row>
    <row r="378" spans="1:8" x14ac:dyDescent="0.25">
      <c r="A378" s="7" t="s">
        <v>273</v>
      </c>
      <c r="B378" s="16" t="s">
        <v>587</v>
      </c>
      <c r="C378" s="123" t="s">
        <v>978</v>
      </c>
      <c r="D378" s="124"/>
      <c r="E378" s="16" t="s">
        <v>1024</v>
      </c>
      <c r="F378" s="23">
        <v>2</v>
      </c>
      <c r="G378" s="60">
        <v>0</v>
      </c>
      <c r="H378" s="5"/>
    </row>
    <row r="379" spans="1:8" x14ac:dyDescent="0.25">
      <c r="A379" s="4" t="s">
        <v>274</v>
      </c>
      <c r="B379" s="14" t="s">
        <v>588</v>
      </c>
      <c r="C379" s="117" t="s">
        <v>979</v>
      </c>
      <c r="D379" s="118"/>
      <c r="E379" s="14" t="s">
        <v>1024</v>
      </c>
      <c r="F379" s="21">
        <v>2</v>
      </c>
      <c r="G379" s="59">
        <v>0</v>
      </c>
      <c r="H379" s="5"/>
    </row>
    <row r="380" spans="1:8" x14ac:dyDescent="0.25">
      <c r="A380" s="4" t="s">
        <v>275</v>
      </c>
      <c r="B380" s="14" t="s">
        <v>589</v>
      </c>
      <c r="C380" s="117" t="s">
        <v>980</v>
      </c>
      <c r="D380" s="118"/>
      <c r="E380" s="14" t="s">
        <v>1024</v>
      </c>
      <c r="F380" s="21">
        <v>1</v>
      </c>
      <c r="G380" s="59">
        <v>0</v>
      </c>
      <c r="H380" s="5"/>
    </row>
    <row r="381" spans="1:8" x14ac:dyDescent="0.25">
      <c r="A381" s="4" t="s">
        <v>276</v>
      </c>
      <c r="B381" s="14" t="s">
        <v>371</v>
      </c>
      <c r="C381" s="117" t="s">
        <v>724</v>
      </c>
      <c r="D381" s="118"/>
      <c r="E381" s="14" t="s">
        <v>1026</v>
      </c>
      <c r="F381" s="21">
        <v>5</v>
      </c>
      <c r="G381" s="59">
        <v>0</v>
      </c>
      <c r="H381" s="5"/>
    </row>
    <row r="382" spans="1:8" x14ac:dyDescent="0.25">
      <c r="A382" s="4" t="s">
        <v>277</v>
      </c>
      <c r="B382" s="14" t="s">
        <v>375</v>
      </c>
      <c r="C382" s="117" t="s">
        <v>981</v>
      </c>
      <c r="D382" s="118"/>
      <c r="E382" s="14" t="s">
        <v>1024</v>
      </c>
      <c r="F382" s="21">
        <v>2</v>
      </c>
      <c r="G382" s="59">
        <v>0</v>
      </c>
      <c r="H382" s="5"/>
    </row>
    <row r="383" spans="1:8" x14ac:dyDescent="0.25">
      <c r="A383" s="4" t="s">
        <v>278</v>
      </c>
      <c r="B383" s="14" t="s">
        <v>590</v>
      </c>
      <c r="C383" s="117" t="s">
        <v>982</v>
      </c>
      <c r="D383" s="118"/>
      <c r="E383" s="14" t="s">
        <v>1023</v>
      </c>
      <c r="F383" s="21">
        <v>0.19</v>
      </c>
      <c r="G383" s="59">
        <v>0</v>
      </c>
      <c r="H383" s="5"/>
    </row>
    <row r="384" spans="1:8" ht="12.15" customHeight="1" x14ac:dyDescent="0.25">
      <c r="A384" s="4"/>
      <c r="B384" s="14"/>
      <c r="C384" s="133" t="s">
        <v>983</v>
      </c>
      <c r="D384" s="134"/>
      <c r="E384" s="133"/>
      <c r="F384" s="56">
        <v>0.19</v>
      </c>
      <c r="G384" s="31"/>
      <c r="H384" s="5"/>
    </row>
    <row r="385" spans="1:8" x14ac:dyDescent="0.25">
      <c r="A385" s="7" t="s">
        <v>279</v>
      </c>
      <c r="B385" s="16" t="s">
        <v>591</v>
      </c>
      <c r="C385" s="123" t="s">
        <v>984</v>
      </c>
      <c r="D385" s="124"/>
      <c r="E385" s="16" t="s">
        <v>1026</v>
      </c>
      <c r="F385" s="23">
        <v>2</v>
      </c>
      <c r="G385" s="60">
        <v>0</v>
      </c>
      <c r="H385" s="5"/>
    </row>
    <row r="386" spans="1:8" ht="12.15" customHeight="1" x14ac:dyDescent="0.25">
      <c r="A386" s="7"/>
      <c r="B386" s="16"/>
      <c r="C386" s="135" t="s">
        <v>985</v>
      </c>
      <c r="D386" s="136"/>
      <c r="E386" s="135"/>
      <c r="F386" s="57">
        <v>2</v>
      </c>
      <c r="G386" s="34"/>
      <c r="H386" s="5"/>
    </row>
    <row r="387" spans="1:8" x14ac:dyDescent="0.25">
      <c r="A387" s="4" t="s">
        <v>280</v>
      </c>
      <c r="B387" s="14" t="s">
        <v>592</v>
      </c>
      <c r="C387" s="117" t="s">
        <v>986</v>
      </c>
      <c r="D387" s="118"/>
      <c r="E387" s="14" t="s">
        <v>1024</v>
      </c>
      <c r="F387" s="21">
        <v>2</v>
      </c>
      <c r="G387" s="59">
        <v>0</v>
      </c>
      <c r="H387" s="5"/>
    </row>
    <row r="388" spans="1:8" x14ac:dyDescent="0.25">
      <c r="A388" s="4" t="s">
        <v>281</v>
      </c>
      <c r="B388" s="14" t="s">
        <v>593</v>
      </c>
      <c r="C388" s="117" t="s">
        <v>987</v>
      </c>
      <c r="D388" s="118"/>
      <c r="E388" s="14" t="s">
        <v>1024</v>
      </c>
      <c r="F388" s="21">
        <v>2</v>
      </c>
      <c r="G388" s="59">
        <v>0</v>
      </c>
      <c r="H388" s="5"/>
    </row>
    <row r="389" spans="1:8" x14ac:dyDescent="0.25">
      <c r="A389" s="4" t="s">
        <v>282</v>
      </c>
      <c r="B389" s="14" t="s">
        <v>594</v>
      </c>
      <c r="C389" s="117" t="s">
        <v>988</v>
      </c>
      <c r="D389" s="118"/>
      <c r="E389" s="14" t="s">
        <v>1024</v>
      </c>
      <c r="F389" s="21">
        <v>2</v>
      </c>
      <c r="G389" s="59">
        <v>0</v>
      </c>
      <c r="H389" s="5"/>
    </row>
    <row r="390" spans="1:8" x14ac:dyDescent="0.25">
      <c r="A390" s="4" t="s">
        <v>283</v>
      </c>
      <c r="B390" s="14" t="s">
        <v>595</v>
      </c>
      <c r="C390" s="117" t="s">
        <v>989</v>
      </c>
      <c r="D390" s="118"/>
      <c r="E390" s="14" t="s">
        <v>1024</v>
      </c>
      <c r="F390" s="21">
        <v>2</v>
      </c>
      <c r="G390" s="59">
        <v>0</v>
      </c>
      <c r="H390" s="5"/>
    </row>
    <row r="391" spans="1:8" x14ac:dyDescent="0.25">
      <c r="A391" s="53"/>
      <c r="B391" s="15" t="s">
        <v>596</v>
      </c>
      <c r="C391" s="121" t="s">
        <v>990</v>
      </c>
      <c r="D391" s="122"/>
      <c r="E391" s="15"/>
      <c r="F391" s="43"/>
      <c r="G391" s="33"/>
      <c r="H391" s="5"/>
    </row>
    <row r="392" spans="1:8" x14ac:dyDescent="0.25">
      <c r="A392" s="4" t="s">
        <v>284</v>
      </c>
      <c r="B392" s="14" t="s">
        <v>597</v>
      </c>
      <c r="C392" s="117" t="s">
        <v>991</v>
      </c>
      <c r="D392" s="118"/>
      <c r="E392" s="14" t="s">
        <v>1024</v>
      </c>
      <c r="F392" s="21">
        <v>22</v>
      </c>
      <c r="G392" s="59">
        <v>0</v>
      </c>
      <c r="H392" s="5"/>
    </row>
    <row r="393" spans="1:8" ht="12.15" customHeight="1" x14ac:dyDescent="0.25">
      <c r="A393" s="4"/>
      <c r="B393" s="14"/>
      <c r="C393" s="133" t="s">
        <v>992</v>
      </c>
      <c r="D393" s="134"/>
      <c r="E393" s="133"/>
      <c r="F393" s="56">
        <v>22</v>
      </c>
      <c r="G393" s="31"/>
      <c r="H393" s="5"/>
    </row>
    <row r="394" spans="1:8" x14ac:dyDescent="0.25">
      <c r="A394" s="4" t="s">
        <v>285</v>
      </c>
      <c r="B394" s="14" t="s">
        <v>598</v>
      </c>
      <c r="C394" s="117" t="s">
        <v>993</v>
      </c>
      <c r="D394" s="118"/>
      <c r="E394" s="14" t="s">
        <v>1024</v>
      </c>
      <c r="F394" s="21">
        <v>6</v>
      </c>
      <c r="G394" s="59">
        <v>0</v>
      </c>
      <c r="H394" s="5"/>
    </row>
    <row r="395" spans="1:8" ht="12.15" customHeight="1" x14ac:dyDescent="0.25">
      <c r="A395" s="4"/>
      <c r="B395" s="14"/>
      <c r="C395" s="133" t="s">
        <v>994</v>
      </c>
      <c r="D395" s="134"/>
      <c r="E395" s="133"/>
      <c r="F395" s="56">
        <v>6</v>
      </c>
      <c r="G395" s="31"/>
      <c r="H395" s="5"/>
    </row>
    <row r="396" spans="1:8" x14ac:dyDescent="0.25">
      <c r="A396" s="4" t="s">
        <v>286</v>
      </c>
      <c r="B396" s="14" t="s">
        <v>599</v>
      </c>
      <c r="C396" s="117" t="s">
        <v>995</v>
      </c>
      <c r="D396" s="118"/>
      <c r="E396" s="14" t="s">
        <v>1026</v>
      </c>
      <c r="F396" s="21">
        <v>13</v>
      </c>
      <c r="G396" s="59">
        <v>0</v>
      </c>
      <c r="H396" s="5"/>
    </row>
    <row r="397" spans="1:8" x14ac:dyDescent="0.25">
      <c r="A397" s="4" t="s">
        <v>287</v>
      </c>
      <c r="B397" s="14" t="s">
        <v>600</v>
      </c>
      <c r="C397" s="117" t="s">
        <v>996</v>
      </c>
      <c r="D397" s="118"/>
      <c r="E397" s="14" t="s">
        <v>1024</v>
      </c>
      <c r="F397" s="21">
        <v>1</v>
      </c>
      <c r="G397" s="59">
        <v>0</v>
      </c>
      <c r="H397" s="5"/>
    </row>
    <row r="398" spans="1:8" x14ac:dyDescent="0.25">
      <c r="A398" s="7" t="s">
        <v>288</v>
      </c>
      <c r="B398" s="16" t="s">
        <v>601</v>
      </c>
      <c r="C398" s="123" t="s">
        <v>997</v>
      </c>
      <c r="D398" s="124"/>
      <c r="E398" s="16" t="s">
        <v>1024</v>
      </c>
      <c r="F398" s="23">
        <v>1</v>
      </c>
      <c r="G398" s="60">
        <v>0</v>
      </c>
      <c r="H398" s="5"/>
    </row>
    <row r="399" spans="1:8" x14ac:dyDescent="0.25">
      <c r="A399" s="7" t="s">
        <v>289</v>
      </c>
      <c r="B399" s="16" t="s">
        <v>602</v>
      </c>
      <c r="C399" s="123" t="s">
        <v>998</v>
      </c>
      <c r="D399" s="124"/>
      <c r="E399" s="16" t="s">
        <v>1024</v>
      </c>
      <c r="F399" s="23">
        <v>1</v>
      </c>
      <c r="G399" s="60">
        <v>0</v>
      </c>
      <c r="H399" s="5"/>
    </row>
    <row r="400" spans="1:8" x14ac:dyDescent="0.25">
      <c r="A400" s="4" t="s">
        <v>290</v>
      </c>
      <c r="B400" s="14" t="s">
        <v>603</v>
      </c>
      <c r="C400" s="117" t="s">
        <v>999</v>
      </c>
      <c r="D400" s="118"/>
      <c r="E400" s="14" t="s">
        <v>1023</v>
      </c>
      <c r="F400" s="21">
        <v>40</v>
      </c>
      <c r="G400" s="59">
        <v>0</v>
      </c>
      <c r="H400" s="5"/>
    </row>
    <row r="401" spans="1:8" x14ac:dyDescent="0.25">
      <c r="A401" s="4" t="s">
        <v>291</v>
      </c>
      <c r="B401" s="14" t="s">
        <v>604</v>
      </c>
      <c r="C401" s="117" t="s">
        <v>1000</v>
      </c>
      <c r="D401" s="118"/>
      <c r="E401" s="14" t="s">
        <v>1023</v>
      </c>
      <c r="F401" s="21">
        <v>100</v>
      </c>
      <c r="G401" s="59">
        <v>0</v>
      </c>
      <c r="H401" s="5"/>
    </row>
    <row r="402" spans="1:8" x14ac:dyDescent="0.25">
      <c r="A402" s="53"/>
      <c r="B402" s="15" t="s">
        <v>605</v>
      </c>
      <c r="C402" s="121" t="s">
        <v>1001</v>
      </c>
      <c r="D402" s="122"/>
      <c r="E402" s="15"/>
      <c r="F402" s="43"/>
      <c r="G402" s="33"/>
      <c r="H402" s="5"/>
    </row>
    <row r="403" spans="1:8" x14ac:dyDescent="0.25">
      <c r="A403" s="4" t="s">
        <v>292</v>
      </c>
      <c r="B403" s="14" t="s">
        <v>606</v>
      </c>
      <c r="C403" s="117" t="s">
        <v>1002</v>
      </c>
      <c r="D403" s="118"/>
      <c r="E403" s="14" t="s">
        <v>1025</v>
      </c>
      <c r="F403" s="21">
        <v>1</v>
      </c>
      <c r="G403" s="59">
        <v>0</v>
      </c>
      <c r="H403" s="5"/>
    </row>
    <row r="404" spans="1:8" x14ac:dyDescent="0.25">
      <c r="A404" s="4" t="s">
        <v>293</v>
      </c>
      <c r="B404" s="14" t="s">
        <v>607</v>
      </c>
      <c r="C404" s="117" t="s">
        <v>1003</v>
      </c>
      <c r="D404" s="118"/>
      <c r="E404" s="14" t="s">
        <v>1025</v>
      </c>
      <c r="F404" s="21">
        <v>2</v>
      </c>
      <c r="G404" s="59">
        <v>0</v>
      </c>
      <c r="H404" s="5"/>
    </row>
    <row r="405" spans="1:8" x14ac:dyDescent="0.25">
      <c r="A405" s="4" t="s">
        <v>294</v>
      </c>
      <c r="B405" s="14" t="s">
        <v>608</v>
      </c>
      <c r="C405" s="117" t="s">
        <v>1004</v>
      </c>
      <c r="D405" s="118"/>
      <c r="E405" s="14" t="s">
        <v>1025</v>
      </c>
      <c r="F405" s="21">
        <v>1</v>
      </c>
      <c r="G405" s="59">
        <v>0</v>
      </c>
      <c r="H405" s="5"/>
    </row>
    <row r="406" spans="1:8" x14ac:dyDescent="0.25">
      <c r="A406" s="4" t="s">
        <v>295</v>
      </c>
      <c r="B406" s="14" t="s">
        <v>609</v>
      </c>
      <c r="C406" s="117" t="s">
        <v>1005</v>
      </c>
      <c r="D406" s="118"/>
      <c r="E406" s="14" t="s">
        <v>1025</v>
      </c>
      <c r="F406" s="21">
        <v>1</v>
      </c>
      <c r="G406" s="59">
        <v>0</v>
      </c>
      <c r="H406" s="5"/>
    </row>
    <row r="407" spans="1:8" x14ac:dyDescent="0.25">
      <c r="A407" s="4" t="s">
        <v>296</v>
      </c>
      <c r="B407" s="14" t="s">
        <v>610</v>
      </c>
      <c r="C407" s="117" t="s">
        <v>1006</v>
      </c>
      <c r="D407" s="118"/>
      <c r="E407" s="14" t="s">
        <v>1025</v>
      </c>
      <c r="F407" s="21">
        <v>1</v>
      </c>
      <c r="G407" s="59">
        <v>0</v>
      </c>
      <c r="H407" s="5"/>
    </row>
    <row r="408" spans="1:8" x14ac:dyDescent="0.25">
      <c r="A408" s="4" t="s">
        <v>297</v>
      </c>
      <c r="B408" s="14" t="s">
        <v>611</v>
      </c>
      <c r="C408" s="117" t="s">
        <v>1007</v>
      </c>
      <c r="D408" s="118"/>
      <c r="E408" s="14" t="s">
        <v>1025</v>
      </c>
      <c r="F408" s="21">
        <v>1</v>
      </c>
      <c r="G408" s="59">
        <v>0</v>
      </c>
      <c r="H408" s="5"/>
    </row>
    <row r="409" spans="1:8" x14ac:dyDescent="0.25">
      <c r="A409" s="4" t="s">
        <v>298</v>
      </c>
      <c r="B409" s="14" t="s">
        <v>612</v>
      </c>
      <c r="C409" s="117" t="s">
        <v>1008</v>
      </c>
      <c r="D409" s="118"/>
      <c r="E409" s="14" t="s">
        <v>1025</v>
      </c>
      <c r="F409" s="21">
        <v>1</v>
      </c>
      <c r="G409" s="59">
        <v>0</v>
      </c>
      <c r="H409" s="5"/>
    </row>
    <row r="410" spans="1:8" x14ac:dyDescent="0.25">
      <c r="A410" s="53"/>
      <c r="B410" s="15" t="s">
        <v>613</v>
      </c>
      <c r="C410" s="121" t="s">
        <v>1009</v>
      </c>
      <c r="D410" s="122"/>
      <c r="E410" s="15"/>
      <c r="F410" s="43"/>
      <c r="G410" s="33"/>
      <c r="H410" s="5"/>
    </row>
    <row r="411" spans="1:8" x14ac:dyDescent="0.25">
      <c r="A411" s="4" t="s">
        <v>299</v>
      </c>
      <c r="B411" s="14" t="s">
        <v>614</v>
      </c>
      <c r="C411" s="117" t="s">
        <v>1010</v>
      </c>
      <c r="D411" s="118"/>
      <c r="E411" s="14" t="s">
        <v>1022</v>
      </c>
      <c r="F411" s="21">
        <v>6</v>
      </c>
      <c r="G411" s="59">
        <v>0</v>
      </c>
      <c r="H411" s="5"/>
    </row>
    <row r="412" spans="1:8" x14ac:dyDescent="0.25">
      <c r="A412" s="8" t="s">
        <v>300</v>
      </c>
      <c r="B412" s="17" t="s">
        <v>615</v>
      </c>
      <c r="C412" s="125" t="s">
        <v>1011</v>
      </c>
      <c r="D412" s="126"/>
      <c r="E412" s="17" t="s">
        <v>1022</v>
      </c>
      <c r="F412" s="24">
        <v>6</v>
      </c>
      <c r="G412" s="61">
        <v>0</v>
      </c>
      <c r="H412" s="5"/>
    </row>
    <row r="413" spans="1:8" x14ac:dyDescent="0.25">
      <c r="A413" s="9"/>
      <c r="B413" s="9"/>
      <c r="C413" s="9"/>
      <c r="D413" s="9"/>
      <c r="E413" s="9"/>
      <c r="F413" s="9"/>
      <c r="G413" s="9"/>
    </row>
    <row r="414" spans="1:8" ht="11.25" customHeight="1" x14ac:dyDescent="0.25">
      <c r="A414" s="10" t="s">
        <v>301</v>
      </c>
    </row>
    <row r="415" spans="1:8" x14ac:dyDescent="0.25">
      <c r="A415" s="101"/>
      <c r="B415" s="93"/>
      <c r="C415" s="93"/>
      <c r="D415" s="93"/>
      <c r="E415" s="93"/>
      <c r="F415" s="93"/>
      <c r="G415" s="93"/>
      <c r="H415" s="93"/>
    </row>
  </sheetData>
  <mergeCells count="421">
    <mergeCell ref="C412:D412"/>
    <mergeCell ref="A415:H415"/>
    <mergeCell ref="C406:D406"/>
    <mergeCell ref="C407:D407"/>
    <mergeCell ref="C408:D408"/>
    <mergeCell ref="C409:D409"/>
    <mergeCell ref="C410:D410"/>
    <mergeCell ref="C411:D411"/>
    <mergeCell ref="C400:D400"/>
    <mergeCell ref="C401:D401"/>
    <mergeCell ref="C402:D402"/>
    <mergeCell ref="C403:D403"/>
    <mergeCell ref="C404:D404"/>
    <mergeCell ref="C405:D405"/>
    <mergeCell ref="C394:D394"/>
    <mergeCell ref="C395:E395"/>
    <mergeCell ref="C396:D396"/>
    <mergeCell ref="C397:D397"/>
    <mergeCell ref="C398:D398"/>
    <mergeCell ref="C399:D399"/>
    <mergeCell ref="C388:D388"/>
    <mergeCell ref="C389:D389"/>
    <mergeCell ref="C390:D390"/>
    <mergeCell ref="C391:D391"/>
    <mergeCell ref="C392:D392"/>
    <mergeCell ref="C393:E393"/>
    <mergeCell ref="C382:D382"/>
    <mergeCell ref="C383:D383"/>
    <mergeCell ref="C384:E384"/>
    <mergeCell ref="C385:D385"/>
    <mergeCell ref="C386:E386"/>
    <mergeCell ref="C387:D387"/>
    <mergeCell ref="C376:D376"/>
    <mergeCell ref="C377:D377"/>
    <mergeCell ref="C378:D378"/>
    <mergeCell ref="C379:D379"/>
    <mergeCell ref="C380:D380"/>
    <mergeCell ref="C381:D381"/>
    <mergeCell ref="C370:D370"/>
    <mergeCell ref="C371:D371"/>
    <mergeCell ref="C372:D372"/>
    <mergeCell ref="C373:D373"/>
    <mergeCell ref="C374:D374"/>
    <mergeCell ref="C375:D375"/>
    <mergeCell ref="C364:D364"/>
    <mergeCell ref="C365:E365"/>
    <mergeCell ref="C366:D366"/>
    <mergeCell ref="C367:D367"/>
    <mergeCell ref="C368:E368"/>
    <mergeCell ref="C369:D369"/>
    <mergeCell ref="C358:D358"/>
    <mergeCell ref="C359:D359"/>
    <mergeCell ref="C360:D360"/>
    <mergeCell ref="C361:D361"/>
    <mergeCell ref="C362:D362"/>
    <mergeCell ref="C363:D363"/>
    <mergeCell ref="C352:D352"/>
    <mergeCell ref="C353:D353"/>
    <mergeCell ref="C354:D354"/>
    <mergeCell ref="C355:D355"/>
    <mergeCell ref="C356:D356"/>
    <mergeCell ref="C357:E357"/>
    <mergeCell ref="C346:D346"/>
    <mergeCell ref="C347:D347"/>
    <mergeCell ref="C348:D348"/>
    <mergeCell ref="C349:D349"/>
    <mergeCell ref="C350:D350"/>
    <mergeCell ref="C351:D351"/>
    <mergeCell ref="C340:D340"/>
    <mergeCell ref="C341:D341"/>
    <mergeCell ref="C342:D342"/>
    <mergeCell ref="C343:D343"/>
    <mergeCell ref="C344:D344"/>
    <mergeCell ref="C345:D345"/>
    <mergeCell ref="C334:D334"/>
    <mergeCell ref="C335:D335"/>
    <mergeCell ref="C336:D336"/>
    <mergeCell ref="C337:D337"/>
    <mergeCell ref="C338:D338"/>
    <mergeCell ref="C339:D339"/>
    <mergeCell ref="C328:D328"/>
    <mergeCell ref="C329:D329"/>
    <mergeCell ref="C330:D330"/>
    <mergeCell ref="C331:D331"/>
    <mergeCell ref="C332:D332"/>
    <mergeCell ref="C333:D333"/>
    <mergeCell ref="C322:D322"/>
    <mergeCell ref="C323:D323"/>
    <mergeCell ref="C324:D324"/>
    <mergeCell ref="C325:D325"/>
    <mergeCell ref="C326:D326"/>
    <mergeCell ref="C327:D327"/>
    <mergeCell ref="C316:D316"/>
    <mergeCell ref="C317:D317"/>
    <mergeCell ref="C318:D318"/>
    <mergeCell ref="C319:D319"/>
    <mergeCell ref="C320:D320"/>
    <mergeCell ref="C321:D321"/>
    <mergeCell ref="C310:D310"/>
    <mergeCell ref="C311:D311"/>
    <mergeCell ref="C312:D312"/>
    <mergeCell ref="C313:D313"/>
    <mergeCell ref="C314:D314"/>
    <mergeCell ref="C315:D315"/>
    <mergeCell ref="C304:D304"/>
    <mergeCell ref="C305:D305"/>
    <mergeCell ref="C306:D306"/>
    <mergeCell ref="C307:D307"/>
    <mergeCell ref="C308:D308"/>
    <mergeCell ref="C309:D309"/>
    <mergeCell ref="C298:D298"/>
    <mergeCell ref="C299:D299"/>
    <mergeCell ref="C300:D300"/>
    <mergeCell ref="C301:D301"/>
    <mergeCell ref="C302:D302"/>
    <mergeCell ref="C303:D303"/>
    <mergeCell ref="C292:D292"/>
    <mergeCell ref="C293:D293"/>
    <mergeCell ref="C294:D294"/>
    <mergeCell ref="C295:D295"/>
    <mergeCell ref="C296:D296"/>
    <mergeCell ref="C297:D297"/>
    <mergeCell ref="C286:D286"/>
    <mergeCell ref="C287:D287"/>
    <mergeCell ref="C288:D288"/>
    <mergeCell ref="C289:D289"/>
    <mergeCell ref="C290:D290"/>
    <mergeCell ref="C291:D291"/>
    <mergeCell ref="C280:D280"/>
    <mergeCell ref="C281:D281"/>
    <mergeCell ref="C282:D282"/>
    <mergeCell ref="C283:D283"/>
    <mergeCell ref="C284:D284"/>
    <mergeCell ref="C285:D285"/>
    <mergeCell ref="C274:D274"/>
    <mergeCell ref="C275:D275"/>
    <mergeCell ref="C276:D276"/>
    <mergeCell ref="C277:D277"/>
    <mergeCell ref="C278:D278"/>
    <mergeCell ref="C279:E279"/>
    <mergeCell ref="C268:D268"/>
    <mergeCell ref="C269:D269"/>
    <mergeCell ref="C270:D270"/>
    <mergeCell ref="C271:D271"/>
    <mergeCell ref="C272:D272"/>
    <mergeCell ref="C273:D273"/>
    <mergeCell ref="C262:D262"/>
    <mergeCell ref="C263:D263"/>
    <mergeCell ref="C264:D264"/>
    <mergeCell ref="C265:D265"/>
    <mergeCell ref="C266:D266"/>
    <mergeCell ref="C267:D267"/>
    <mergeCell ref="C256:D256"/>
    <mergeCell ref="C257:E257"/>
    <mergeCell ref="C258:D258"/>
    <mergeCell ref="C259:E259"/>
    <mergeCell ref="C260:D260"/>
    <mergeCell ref="C261:E261"/>
    <mergeCell ref="C250:D250"/>
    <mergeCell ref="C251:D251"/>
    <mergeCell ref="C252:D252"/>
    <mergeCell ref="C253:E253"/>
    <mergeCell ref="C254:D254"/>
    <mergeCell ref="C255:E255"/>
    <mergeCell ref="C244:E244"/>
    <mergeCell ref="C245:E245"/>
    <mergeCell ref="C246:D246"/>
    <mergeCell ref="C247:D247"/>
    <mergeCell ref="C248:D248"/>
    <mergeCell ref="C249:D249"/>
    <mergeCell ref="C238:E238"/>
    <mergeCell ref="C239:D239"/>
    <mergeCell ref="C240:E240"/>
    <mergeCell ref="C241:D241"/>
    <mergeCell ref="C242:E242"/>
    <mergeCell ref="C243:E243"/>
    <mergeCell ref="C232:D232"/>
    <mergeCell ref="C233:D233"/>
    <mergeCell ref="C234:E234"/>
    <mergeCell ref="C235:E235"/>
    <mergeCell ref="C236:E236"/>
    <mergeCell ref="C237:D237"/>
    <mergeCell ref="C226:D226"/>
    <mergeCell ref="C227:D227"/>
    <mergeCell ref="C228:D228"/>
    <mergeCell ref="C229:E229"/>
    <mergeCell ref="C230:D230"/>
    <mergeCell ref="C231:E231"/>
    <mergeCell ref="C220:D220"/>
    <mergeCell ref="C221:D221"/>
    <mergeCell ref="C222:E222"/>
    <mergeCell ref="C223:D223"/>
    <mergeCell ref="C224:D224"/>
    <mergeCell ref="C225:D225"/>
    <mergeCell ref="C214:D214"/>
    <mergeCell ref="C215:D215"/>
    <mergeCell ref="C216:D216"/>
    <mergeCell ref="C217:D217"/>
    <mergeCell ref="C218:D218"/>
    <mergeCell ref="C219:E219"/>
    <mergeCell ref="C208:D208"/>
    <mergeCell ref="C209:D209"/>
    <mergeCell ref="C210:D210"/>
    <mergeCell ref="C211:D211"/>
    <mergeCell ref="C212:D212"/>
    <mergeCell ref="C213:D213"/>
    <mergeCell ref="C202:D202"/>
    <mergeCell ref="C203:D203"/>
    <mergeCell ref="C204:D204"/>
    <mergeCell ref="C205:D205"/>
    <mergeCell ref="C206:D206"/>
    <mergeCell ref="C207:D207"/>
    <mergeCell ref="C196:D196"/>
    <mergeCell ref="C197:D197"/>
    <mergeCell ref="C198:D198"/>
    <mergeCell ref="C199:D199"/>
    <mergeCell ref="C200:D200"/>
    <mergeCell ref="C201:D201"/>
    <mergeCell ref="C190:D190"/>
    <mergeCell ref="C191:D191"/>
    <mergeCell ref="C192:D192"/>
    <mergeCell ref="C193:D193"/>
    <mergeCell ref="C194:D194"/>
    <mergeCell ref="C195:D195"/>
    <mergeCell ref="C184:D184"/>
    <mergeCell ref="C185:D185"/>
    <mergeCell ref="C186:D186"/>
    <mergeCell ref="C187:D187"/>
    <mergeCell ref="C188:D188"/>
    <mergeCell ref="C189:D189"/>
    <mergeCell ref="C178:D178"/>
    <mergeCell ref="C179:D179"/>
    <mergeCell ref="C180:D180"/>
    <mergeCell ref="C181:D181"/>
    <mergeCell ref="C182:D182"/>
    <mergeCell ref="C183:D183"/>
    <mergeCell ref="C172:E172"/>
    <mergeCell ref="C173:D173"/>
    <mergeCell ref="C174:D174"/>
    <mergeCell ref="C175:D175"/>
    <mergeCell ref="C176:D176"/>
    <mergeCell ref="C177:D177"/>
    <mergeCell ref="C166:D166"/>
    <mergeCell ref="C167:E167"/>
    <mergeCell ref="C168:D168"/>
    <mergeCell ref="C169:D169"/>
    <mergeCell ref="C170:D170"/>
    <mergeCell ref="C171:D171"/>
    <mergeCell ref="C160:D160"/>
    <mergeCell ref="C161:D161"/>
    <mergeCell ref="C162:D162"/>
    <mergeCell ref="C163:E163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48:D148"/>
    <mergeCell ref="C149:D149"/>
    <mergeCell ref="C150:D150"/>
    <mergeCell ref="C151:D151"/>
    <mergeCell ref="C152:D152"/>
    <mergeCell ref="C153:D153"/>
    <mergeCell ref="C142:D142"/>
    <mergeCell ref="C143:D143"/>
    <mergeCell ref="C144:D144"/>
    <mergeCell ref="C145:D145"/>
    <mergeCell ref="C146:D146"/>
    <mergeCell ref="C147:D147"/>
    <mergeCell ref="C136:D136"/>
    <mergeCell ref="C137:D137"/>
    <mergeCell ref="C138:D138"/>
    <mergeCell ref="C139:D139"/>
    <mergeCell ref="C140:D140"/>
    <mergeCell ref="C141:D141"/>
    <mergeCell ref="C130:D130"/>
    <mergeCell ref="C131:D131"/>
    <mergeCell ref="C132:D132"/>
    <mergeCell ref="C133:D133"/>
    <mergeCell ref="C134:D134"/>
    <mergeCell ref="C135:E135"/>
    <mergeCell ref="C124:D124"/>
    <mergeCell ref="C125:D125"/>
    <mergeCell ref="C126:D126"/>
    <mergeCell ref="C127:E127"/>
    <mergeCell ref="C128:D128"/>
    <mergeCell ref="C129:D129"/>
    <mergeCell ref="C118:D118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4:D94"/>
    <mergeCell ref="C95:D95"/>
    <mergeCell ref="C96:D96"/>
    <mergeCell ref="C97:D97"/>
    <mergeCell ref="C98:D98"/>
    <mergeCell ref="C99:D99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E78"/>
    <mergeCell ref="C79:D79"/>
    <mergeCell ref="C80:D80"/>
    <mergeCell ref="C81:D81"/>
    <mergeCell ref="C70:D70"/>
    <mergeCell ref="C71:D71"/>
    <mergeCell ref="C72:E72"/>
    <mergeCell ref="C73:D73"/>
    <mergeCell ref="C74:D74"/>
    <mergeCell ref="C75:D75"/>
    <mergeCell ref="C64:E64"/>
    <mergeCell ref="C65:D65"/>
    <mergeCell ref="C66:E66"/>
    <mergeCell ref="C67:D67"/>
    <mergeCell ref="C68:D68"/>
    <mergeCell ref="C69:E69"/>
    <mergeCell ref="C58:D58"/>
    <mergeCell ref="C59:E59"/>
    <mergeCell ref="C60:D60"/>
    <mergeCell ref="C61:E61"/>
    <mergeCell ref="C62:D62"/>
    <mergeCell ref="C63:D63"/>
    <mergeCell ref="C52:E52"/>
    <mergeCell ref="C53:D53"/>
    <mergeCell ref="C54:E54"/>
    <mergeCell ref="C55:E55"/>
    <mergeCell ref="C56:D56"/>
    <mergeCell ref="C57:E57"/>
    <mergeCell ref="C46:D46"/>
    <mergeCell ref="C47:D47"/>
    <mergeCell ref="C48:D48"/>
    <mergeCell ref="C49:D49"/>
    <mergeCell ref="C50:E50"/>
    <mergeCell ref="C51:D51"/>
    <mergeCell ref="C40:E40"/>
    <mergeCell ref="C41:D41"/>
    <mergeCell ref="C42:D42"/>
    <mergeCell ref="C43:D43"/>
    <mergeCell ref="C44:D44"/>
    <mergeCell ref="C45:D45"/>
    <mergeCell ref="C34:D34"/>
    <mergeCell ref="C35:E35"/>
    <mergeCell ref="C36:D36"/>
    <mergeCell ref="C37:E37"/>
    <mergeCell ref="C38:D38"/>
    <mergeCell ref="C39:D39"/>
    <mergeCell ref="C28:D28"/>
    <mergeCell ref="C29:D29"/>
    <mergeCell ref="C30:D30"/>
    <mergeCell ref="C31:D31"/>
    <mergeCell ref="C32:E32"/>
    <mergeCell ref="C33:E33"/>
    <mergeCell ref="C22:D22"/>
    <mergeCell ref="C23:D23"/>
    <mergeCell ref="C24:E24"/>
    <mergeCell ref="C25:D25"/>
    <mergeCell ref="C26:D26"/>
    <mergeCell ref="C27:E27"/>
    <mergeCell ref="C16:D16"/>
    <mergeCell ref="C17:D17"/>
    <mergeCell ref="C18:D18"/>
    <mergeCell ref="C19:E19"/>
    <mergeCell ref="C20:D20"/>
    <mergeCell ref="C21:E21"/>
    <mergeCell ref="C10:D10"/>
    <mergeCell ref="C11:D11"/>
    <mergeCell ref="C12:D12"/>
    <mergeCell ref="C13:E13"/>
    <mergeCell ref="C14:D14"/>
    <mergeCell ref="C15:D15"/>
    <mergeCell ref="A6:A7"/>
    <mergeCell ref="B6:C7"/>
    <mergeCell ref="D6:D7"/>
    <mergeCell ref="E6:G7"/>
    <mergeCell ref="A8:A9"/>
    <mergeCell ref="B8:C9"/>
    <mergeCell ref="D8:D9"/>
    <mergeCell ref="E8:G9"/>
    <mergeCell ref="A1:G1"/>
    <mergeCell ref="A2:A3"/>
    <mergeCell ref="B2:C3"/>
    <mergeCell ref="D2:D3"/>
    <mergeCell ref="E2:G3"/>
    <mergeCell ref="A4:A5"/>
    <mergeCell ref="B4:C5"/>
    <mergeCell ref="D4:D5"/>
    <mergeCell ref="E4:G5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/>
  </sheetViews>
  <sheetFormatPr defaultColWidth="11.5546875" defaultRowHeight="13.2" x14ac:dyDescent="0.25"/>
  <cols>
    <col min="1" max="1" width="9.109375" customWidth="1"/>
    <col min="2" max="2" width="12.88671875" customWidth="1"/>
    <col min="3" max="3" width="22.88671875" customWidth="1"/>
    <col min="4" max="4" width="10" customWidth="1"/>
    <col min="5" max="5" width="14" customWidth="1"/>
    <col min="6" max="6" width="22.88671875" customWidth="1"/>
    <col min="7" max="7" width="9.109375" customWidth="1"/>
    <col min="8" max="8" width="12.88671875" customWidth="1"/>
    <col min="9" max="9" width="22.88671875" customWidth="1"/>
  </cols>
  <sheetData>
    <row r="1" spans="1:10" ht="73.05" customHeight="1" x14ac:dyDescent="0.25">
      <c r="A1" s="87"/>
      <c r="B1" s="62"/>
      <c r="C1" s="137" t="s">
        <v>1152</v>
      </c>
      <c r="D1" s="89"/>
      <c r="E1" s="89"/>
      <c r="F1" s="89"/>
      <c r="G1" s="89"/>
      <c r="H1" s="89"/>
      <c r="I1" s="89"/>
    </row>
    <row r="2" spans="1:10" x14ac:dyDescent="0.25">
      <c r="A2" s="90" t="s">
        <v>1</v>
      </c>
      <c r="B2" s="91"/>
      <c r="C2" s="94" t="str">
        <f>'Stavební rozpočet'!C2</f>
        <v>Plynová kotelna pro vytápění MŠ Doubrava</v>
      </c>
      <c r="D2" s="128"/>
      <c r="E2" s="97" t="s">
        <v>1032</v>
      </c>
      <c r="F2" s="97" t="str">
        <f>'Stavební rozpočet'!I2</f>
        <v xml:space="preserve">Obec Doubrava,Doubrava č.p. 599, 735 33 Doubrava_x000D_
</v>
      </c>
      <c r="G2" s="91"/>
      <c r="H2" s="97" t="s">
        <v>1177</v>
      </c>
      <c r="I2" s="138"/>
      <c r="J2" s="5"/>
    </row>
    <row r="3" spans="1:10" x14ac:dyDescent="0.25">
      <c r="A3" s="92"/>
      <c r="B3" s="93"/>
      <c r="C3" s="95"/>
      <c r="D3" s="95"/>
      <c r="E3" s="93"/>
      <c r="F3" s="93"/>
      <c r="G3" s="93"/>
      <c r="H3" s="93"/>
      <c r="I3" s="99"/>
      <c r="J3" s="5"/>
    </row>
    <row r="4" spans="1:10" x14ac:dyDescent="0.25">
      <c r="A4" s="100" t="s">
        <v>2</v>
      </c>
      <c r="B4" s="93"/>
      <c r="C4" s="101" t="str">
        <f>'Stavební rozpočet'!C4</f>
        <v>Občanská vybavenost</v>
      </c>
      <c r="D4" s="93"/>
      <c r="E4" s="101" t="s">
        <v>1033</v>
      </c>
      <c r="F4" s="101" t="str">
        <f>'Stavební rozpočet'!I4</f>
        <v>Ing. Stanislav Wilczek</v>
      </c>
      <c r="G4" s="93"/>
      <c r="H4" s="101" t="s">
        <v>1177</v>
      </c>
      <c r="I4" s="139"/>
      <c r="J4" s="5"/>
    </row>
    <row r="5" spans="1:10" x14ac:dyDescent="0.25">
      <c r="A5" s="92"/>
      <c r="B5" s="93"/>
      <c r="C5" s="93"/>
      <c r="D5" s="93"/>
      <c r="E5" s="93"/>
      <c r="F5" s="93"/>
      <c r="G5" s="93"/>
      <c r="H5" s="93"/>
      <c r="I5" s="99"/>
      <c r="J5" s="5"/>
    </row>
    <row r="6" spans="1:10" x14ac:dyDescent="0.25">
      <c r="A6" s="100" t="s">
        <v>3</v>
      </c>
      <c r="B6" s="93"/>
      <c r="C6" s="101" t="str">
        <f>'Stavební rozpočet'!C6</f>
        <v>Obec Doubrava, č.p. 496,  735 33 Doubrava</v>
      </c>
      <c r="D6" s="93"/>
      <c r="E6" s="101" t="s">
        <v>1034</v>
      </c>
      <c r="F6" s="101" t="str">
        <f>'Stavební rozpočet'!I6</f>
        <v> </v>
      </c>
      <c r="G6" s="93"/>
      <c r="H6" s="101" t="s">
        <v>1177</v>
      </c>
      <c r="I6" s="139"/>
      <c r="J6" s="5"/>
    </row>
    <row r="7" spans="1:10" x14ac:dyDescent="0.25">
      <c r="A7" s="92"/>
      <c r="B7" s="93"/>
      <c r="C7" s="93"/>
      <c r="D7" s="93"/>
      <c r="E7" s="93"/>
      <c r="F7" s="93"/>
      <c r="G7" s="93"/>
      <c r="H7" s="93"/>
      <c r="I7" s="99"/>
      <c r="J7" s="5"/>
    </row>
    <row r="8" spans="1:10" x14ac:dyDescent="0.25">
      <c r="A8" s="100" t="s">
        <v>1013</v>
      </c>
      <c r="B8" s="93"/>
      <c r="C8" s="101" t="str">
        <f>'Stavební rozpočet'!F4</f>
        <v xml:space="preserve"> </v>
      </c>
      <c r="D8" s="93"/>
      <c r="E8" s="101" t="s">
        <v>1014</v>
      </c>
      <c r="F8" s="101" t="str">
        <f>'Stavební rozpočet'!F6</f>
        <v xml:space="preserve"> </v>
      </c>
      <c r="G8" s="93"/>
      <c r="H8" s="102" t="s">
        <v>1178</v>
      </c>
      <c r="I8" s="139" t="s">
        <v>300</v>
      </c>
      <c r="J8" s="5"/>
    </row>
    <row r="9" spans="1:10" x14ac:dyDescent="0.25">
      <c r="A9" s="92"/>
      <c r="B9" s="93"/>
      <c r="C9" s="93"/>
      <c r="D9" s="93"/>
      <c r="E9" s="93"/>
      <c r="F9" s="93"/>
      <c r="G9" s="93"/>
      <c r="H9" s="93"/>
      <c r="I9" s="99"/>
      <c r="J9" s="5"/>
    </row>
    <row r="10" spans="1:10" x14ac:dyDescent="0.25">
      <c r="A10" s="100" t="s">
        <v>4</v>
      </c>
      <c r="B10" s="93"/>
      <c r="C10" s="101">
        <f>'Stavební rozpočet'!C8</f>
        <v>8013212</v>
      </c>
      <c r="D10" s="93"/>
      <c r="E10" s="101" t="s">
        <v>1035</v>
      </c>
      <c r="F10" s="101" t="str">
        <f>'Stavební rozpočet'!I8</f>
        <v>Ing. Stanislav Wilczek</v>
      </c>
      <c r="G10" s="93"/>
      <c r="H10" s="102" t="s">
        <v>1179</v>
      </c>
      <c r="I10" s="142" t="str">
        <f>'Stavební rozpočet'!F8</f>
        <v>19.10.2020</v>
      </c>
      <c r="J10" s="5"/>
    </row>
    <row r="11" spans="1:10" x14ac:dyDescent="0.25">
      <c r="A11" s="140"/>
      <c r="B11" s="141"/>
      <c r="C11" s="141"/>
      <c r="D11" s="141"/>
      <c r="E11" s="141"/>
      <c r="F11" s="141"/>
      <c r="G11" s="141"/>
      <c r="H11" s="141"/>
      <c r="I11" s="143"/>
      <c r="J11" s="5"/>
    </row>
    <row r="12" spans="1:10" ht="23.4" customHeight="1" x14ac:dyDescent="0.25">
      <c r="A12" s="144" t="s">
        <v>1137</v>
      </c>
      <c r="B12" s="145"/>
      <c r="C12" s="145"/>
      <c r="D12" s="145"/>
      <c r="E12" s="145"/>
      <c r="F12" s="145"/>
      <c r="G12" s="145"/>
      <c r="H12" s="145"/>
      <c r="I12" s="145"/>
    </row>
    <row r="13" spans="1:10" ht="26.4" customHeight="1" x14ac:dyDescent="0.25">
      <c r="A13" s="63" t="s">
        <v>1138</v>
      </c>
      <c r="B13" s="146" t="s">
        <v>1150</v>
      </c>
      <c r="C13" s="147"/>
      <c r="D13" s="63" t="s">
        <v>1153</v>
      </c>
      <c r="E13" s="146" t="s">
        <v>1162</v>
      </c>
      <c r="F13" s="147"/>
      <c r="G13" s="63" t="s">
        <v>1163</v>
      </c>
      <c r="H13" s="146" t="s">
        <v>1180</v>
      </c>
      <c r="I13" s="147"/>
      <c r="J13" s="5"/>
    </row>
    <row r="14" spans="1:10" ht="15.15" customHeight="1" x14ac:dyDescent="0.25">
      <c r="A14" s="64" t="s">
        <v>1139</v>
      </c>
      <c r="B14" s="68" t="s">
        <v>1151</v>
      </c>
      <c r="C14" s="72">
        <f>SUM('Stavební rozpočet'!AA12:AA413)</f>
        <v>0</v>
      </c>
      <c r="D14" s="148" t="s">
        <v>1154</v>
      </c>
      <c r="E14" s="149"/>
      <c r="F14" s="72">
        <f>VORN!I15</f>
        <v>0</v>
      </c>
      <c r="G14" s="148" t="s">
        <v>1164</v>
      </c>
      <c r="H14" s="149"/>
      <c r="I14" s="72">
        <f>VORN!I21</f>
        <v>0</v>
      </c>
      <c r="J14" s="5"/>
    </row>
    <row r="15" spans="1:10" ht="15.15" customHeight="1" x14ac:dyDescent="0.25">
      <c r="A15" s="65"/>
      <c r="B15" s="68" t="s">
        <v>1044</v>
      </c>
      <c r="C15" s="72">
        <f>SUM('Stavební rozpočet'!AB12:AB413)</f>
        <v>0</v>
      </c>
      <c r="D15" s="148" t="s">
        <v>1155</v>
      </c>
      <c r="E15" s="149"/>
      <c r="F15" s="72">
        <f>VORN!I16</f>
        <v>0</v>
      </c>
      <c r="G15" s="148" t="s">
        <v>1165</v>
      </c>
      <c r="H15" s="149"/>
      <c r="I15" s="72">
        <f>VORN!I22</f>
        <v>0</v>
      </c>
      <c r="J15" s="5"/>
    </row>
    <row r="16" spans="1:10" ht="15.15" customHeight="1" x14ac:dyDescent="0.25">
      <c r="A16" s="64" t="s">
        <v>1140</v>
      </c>
      <c r="B16" s="68" t="s">
        <v>1151</v>
      </c>
      <c r="C16" s="72">
        <f>SUM('Stavební rozpočet'!AC12:AC413)</f>
        <v>0</v>
      </c>
      <c r="D16" s="148" t="s">
        <v>1156</v>
      </c>
      <c r="E16" s="149"/>
      <c r="F16" s="72">
        <f>VORN!I17</f>
        <v>0</v>
      </c>
      <c r="G16" s="148" t="s">
        <v>1166</v>
      </c>
      <c r="H16" s="149"/>
      <c r="I16" s="72">
        <f>VORN!I23</f>
        <v>0</v>
      </c>
      <c r="J16" s="5"/>
    </row>
    <row r="17" spans="1:10" ht="15.15" customHeight="1" x14ac:dyDescent="0.25">
      <c r="A17" s="65"/>
      <c r="B17" s="68" t="s">
        <v>1044</v>
      </c>
      <c r="C17" s="72">
        <f>SUM('Stavební rozpočet'!AD12:AD413)</f>
        <v>0</v>
      </c>
      <c r="D17" s="148"/>
      <c r="E17" s="149"/>
      <c r="F17" s="73"/>
      <c r="G17" s="148" t="s">
        <v>1167</v>
      </c>
      <c r="H17" s="149"/>
      <c r="I17" s="72">
        <f>VORN!I24</f>
        <v>0</v>
      </c>
      <c r="J17" s="5"/>
    </row>
    <row r="18" spans="1:10" ht="15.15" customHeight="1" x14ac:dyDescent="0.25">
      <c r="A18" s="64" t="s">
        <v>1141</v>
      </c>
      <c r="B18" s="68" t="s">
        <v>1151</v>
      </c>
      <c r="C18" s="72">
        <f>SUM('Stavební rozpočet'!AE12:AE413)</f>
        <v>0</v>
      </c>
      <c r="D18" s="148"/>
      <c r="E18" s="149"/>
      <c r="F18" s="73"/>
      <c r="G18" s="148" t="s">
        <v>1168</v>
      </c>
      <c r="H18" s="149"/>
      <c r="I18" s="72">
        <f>VORN!I25</f>
        <v>0</v>
      </c>
      <c r="J18" s="5"/>
    </row>
    <row r="19" spans="1:10" ht="15.15" customHeight="1" x14ac:dyDescent="0.25">
      <c r="A19" s="65"/>
      <c r="B19" s="68" t="s">
        <v>1044</v>
      </c>
      <c r="C19" s="72">
        <f>SUM('Stavební rozpočet'!AF12:AF413)</f>
        <v>0</v>
      </c>
      <c r="D19" s="148"/>
      <c r="E19" s="149"/>
      <c r="F19" s="73"/>
      <c r="G19" s="148" t="s">
        <v>1169</v>
      </c>
      <c r="H19" s="149"/>
      <c r="I19" s="72">
        <f>VORN!I26</f>
        <v>0</v>
      </c>
      <c r="J19" s="5"/>
    </row>
    <row r="20" spans="1:10" ht="15.15" customHeight="1" x14ac:dyDescent="0.25">
      <c r="A20" s="150" t="s">
        <v>1142</v>
      </c>
      <c r="B20" s="151"/>
      <c r="C20" s="72">
        <f>SUM('Stavební rozpočet'!AG12:AG413)</f>
        <v>0</v>
      </c>
      <c r="D20" s="148"/>
      <c r="E20" s="149"/>
      <c r="F20" s="73"/>
      <c r="G20" s="148"/>
      <c r="H20" s="149"/>
      <c r="I20" s="73"/>
      <c r="J20" s="5"/>
    </row>
    <row r="21" spans="1:10" ht="15.15" customHeight="1" x14ac:dyDescent="0.25">
      <c r="A21" s="150" t="s">
        <v>1143</v>
      </c>
      <c r="B21" s="151"/>
      <c r="C21" s="72">
        <f>SUM('Stavební rozpočet'!Y12:Y413)</f>
        <v>0</v>
      </c>
      <c r="D21" s="148"/>
      <c r="E21" s="149"/>
      <c r="F21" s="73"/>
      <c r="G21" s="148"/>
      <c r="H21" s="149"/>
      <c r="I21" s="73"/>
      <c r="J21" s="5"/>
    </row>
    <row r="22" spans="1:10" ht="16.649999999999999" customHeight="1" x14ac:dyDescent="0.25">
      <c r="A22" s="150" t="s">
        <v>1144</v>
      </c>
      <c r="B22" s="151"/>
      <c r="C22" s="72">
        <f>ROUND(SUM(C14:C21),0)</f>
        <v>0</v>
      </c>
      <c r="D22" s="150" t="s">
        <v>1157</v>
      </c>
      <c r="E22" s="151"/>
      <c r="F22" s="72">
        <f>SUM(F14:F21)</f>
        <v>0</v>
      </c>
      <c r="G22" s="150" t="s">
        <v>1170</v>
      </c>
      <c r="H22" s="151"/>
      <c r="I22" s="72">
        <f>SUM(I14:I21)</f>
        <v>0</v>
      </c>
      <c r="J22" s="5"/>
    </row>
    <row r="23" spans="1:10" ht="15.15" customHeight="1" x14ac:dyDescent="0.25">
      <c r="A23" s="9"/>
      <c r="B23" s="9"/>
      <c r="C23" s="70"/>
      <c r="D23" s="150" t="s">
        <v>1158</v>
      </c>
      <c r="E23" s="151"/>
      <c r="F23" s="74">
        <v>0</v>
      </c>
      <c r="G23" s="150" t="s">
        <v>1171</v>
      </c>
      <c r="H23" s="151"/>
      <c r="I23" s="72">
        <v>0</v>
      </c>
      <c r="J23" s="5"/>
    </row>
    <row r="24" spans="1:10" ht="15.15" customHeight="1" x14ac:dyDescent="0.25">
      <c r="D24" s="9"/>
      <c r="E24" s="9"/>
      <c r="F24" s="75"/>
      <c r="G24" s="150" t="s">
        <v>1172</v>
      </c>
      <c r="H24" s="151"/>
      <c r="I24" s="72">
        <f>vorn_sum</f>
        <v>0</v>
      </c>
      <c r="J24" s="5"/>
    </row>
    <row r="25" spans="1:10" ht="15.15" customHeight="1" x14ac:dyDescent="0.25">
      <c r="F25" s="32"/>
      <c r="G25" s="150" t="s">
        <v>1173</v>
      </c>
      <c r="H25" s="151"/>
      <c r="I25" s="72">
        <v>0</v>
      </c>
      <c r="J25" s="5"/>
    </row>
    <row r="26" spans="1:10" x14ac:dyDescent="0.25">
      <c r="A26" s="62"/>
      <c r="B26" s="62"/>
      <c r="C26" s="62"/>
      <c r="G26" s="9"/>
      <c r="H26" s="9"/>
      <c r="I26" s="9"/>
    </row>
    <row r="27" spans="1:10" ht="15.15" customHeight="1" x14ac:dyDescent="0.25">
      <c r="A27" s="152" t="s">
        <v>1145</v>
      </c>
      <c r="B27" s="153"/>
      <c r="C27" s="76">
        <f>ROUND(SUM('Stavební rozpočet'!AI12:AI413),0)</f>
        <v>0</v>
      </c>
      <c r="D27" s="71"/>
      <c r="E27" s="62"/>
      <c r="F27" s="62"/>
      <c r="G27" s="62"/>
      <c r="H27" s="62"/>
      <c r="I27" s="62"/>
    </row>
    <row r="28" spans="1:10" ht="15.15" customHeight="1" x14ac:dyDescent="0.25">
      <c r="A28" s="152" t="s">
        <v>1146</v>
      </c>
      <c r="B28" s="153"/>
      <c r="C28" s="76">
        <f>ROUND(SUM('Stavební rozpočet'!AJ12:AJ413),0)</f>
        <v>0</v>
      </c>
      <c r="D28" s="152" t="s">
        <v>1159</v>
      </c>
      <c r="E28" s="153"/>
      <c r="F28" s="76">
        <f>ROUND(C28*(15/100),2)</f>
        <v>0</v>
      </c>
      <c r="G28" s="152" t="s">
        <v>1174</v>
      </c>
      <c r="H28" s="153"/>
      <c r="I28" s="76">
        <f>ROUND(SUM(C27:C29),0)</f>
        <v>0</v>
      </c>
      <c r="J28" s="5"/>
    </row>
    <row r="29" spans="1:10" ht="15.15" customHeight="1" x14ac:dyDescent="0.25">
      <c r="A29" s="152" t="s">
        <v>1147</v>
      </c>
      <c r="B29" s="153"/>
      <c r="C29" s="76">
        <f>ROUND(SUM('Stavební rozpočet'!AK12:AK413)+(F22+I22+F23+I23+I24+I25),0)</f>
        <v>0</v>
      </c>
      <c r="D29" s="152" t="s">
        <v>1160</v>
      </c>
      <c r="E29" s="153"/>
      <c r="F29" s="76">
        <f>ROUND(C29*(21/100),2)</f>
        <v>0</v>
      </c>
      <c r="G29" s="152" t="s">
        <v>1175</v>
      </c>
      <c r="H29" s="153"/>
      <c r="I29" s="76">
        <f>ROUND(SUM(F28:F29)+I28,0)</f>
        <v>0</v>
      </c>
      <c r="J29" s="5"/>
    </row>
    <row r="30" spans="1:10" x14ac:dyDescent="0.25">
      <c r="A30" s="66"/>
      <c r="B30" s="66"/>
      <c r="C30" s="66"/>
      <c r="D30" s="66"/>
      <c r="E30" s="66"/>
      <c r="F30" s="66"/>
      <c r="G30" s="66"/>
      <c r="H30" s="66"/>
      <c r="I30" s="66"/>
    </row>
    <row r="31" spans="1:10" ht="14.4" customHeight="1" x14ac:dyDescent="0.25">
      <c r="A31" s="154" t="s">
        <v>1148</v>
      </c>
      <c r="B31" s="155"/>
      <c r="C31" s="156"/>
      <c r="D31" s="154" t="s">
        <v>1161</v>
      </c>
      <c r="E31" s="155"/>
      <c r="F31" s="156"/>
      <c r="G31" s="154" t="s">
        <v>1176</v>
      </c>
      <c r="H31" s="155"/>
      <c r="I31" s="156"/>
      <c r="J31" s="35"/>
    </row>
    <row r="32" spans="1:10" ht="14.4" customHeight="1" x14ac:dyDescent="0.25">
      <c r="A32" s="157"/>
      <c r="B32" s="158"/>
      <c r="C32" s="159"/>
      <c r="D32" s="157"/>
      <c r="E32" s="158"/>
      <c r="F32" s="159"/>
      <c r="G32" s="157"/>
      <c r="H32" s="158"/>
      <c r="I32" s="159"/>
      <c r="J32" s="35"/>
    </row>
    <row r="33" spans="1:10" ht="14.4" customHeight="1" x14ac:dyDescent="0.25">
      <c r="A33" s="157"/>
      <c r="B33" s="158"/>
      <c r="C33" s="159"/>
      <c r="D33" s="157"/>
      <c r="E33" s="158"/>
      <c r="F33" s="159"/>
      <c r="G33" s="157"/>
      <c r="H33" s="158"/>
      <c r="I33" s="159"/>
      <c r="J33" s="35"/>
    </row>
    <row r="34" spans="1:10" ht="14.4" customHeight="1" x14ac:dyDescent="0.25">
      <c r="A34" s="157"/>
      <c r="B34" s="158"/>
      <c r="C34" s="159"/>
      <c r="D34" s="157"/>
      <c r="E34" s="158"/>
      <c r="F34" s="159"/>
      <c r="G34" s="157"/>
      <c r="H34" s="158"/>
      <c r="I34" s="159"/>
      <c r="J34" s="35"/>
    </row>
    <row r="35" spans="1:10" ht="14.4" customHeight="1" x14ac:dyDescent="0.25">
      <c r="A35" s="160" t="s">
        <v>1149</v>
      </c>
      <c r="B35" s="161"/>
      <c r="C35" s="162"/>
      <c r="D35" s="160" t="s">
        <v>1149</v>
      </c>
      <c r="E35" s="161"/>
      <c r="F35" s="162"/>
      <c r="G35" s="160" t="s">
        <v>1149</v>
      </c>
      <c r="H35" s="161"/>
      <c r="I35" s="162"/>
      <c r="J35" s="35"/>
    </row>
    <row r="36" spans="1:10" ht="11.25" customHeight="1" x14ac:dyDescent="0.25">
      <c r="A36" s="67" t="s">
        <v>301</v>
      </c>
      <c r="B36" s="69"/>
      <c r="C36" s="69"/>
      <c r="D36" s="69"/>
      <c r="E36" s="69"/>
      <c r="F36" s="69"/>
      <c r="G36" s="69"/>
      <c r="H36" s="69"/>
      <c r="I36" s="69"/>
    </row>
    <row r="37" spans="1:10" x14ac:dyDescent="0.25">
      <c r="A37" s="101"/>
      <c r="B37" s="93"/>
      <c r="C37" s="93"/>
      <c r="D37" s="93"/>
      <c r="E37" s="93"/>
      <c r="F37" s="93"/>
      <c r="G37" s="93"/>
      <c r="H37" s="93"/>
      <c r="I37" s="93"/>
    </row>
  </sheetData>
  <mergeCells count="83">
    <mergeCell ref="A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29:B29"/>
    <mergeCell ref="D29:E29"/>
    <mergeCell ref="G29:H29"/>
    <mergeCell ref="A31:C31"/>
    <mergeCell ref="D31:F31"/>
    <mergeCell ref="G31:I31"/>
    <mergeCell ref="D23:E23"/>
    <mergeCell ref="G23:H23"/>
    <mergeCell ref="G24:H24"/>
    <mergeCell ref="G25:H25"/>
    <mergeCell ref="A27:B27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8:I9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I4:I5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0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/>
  </sheetViews>
  <sheetFormatPr defaultColWidth="11.5546875" defaultRowHeight="13.2" x14ac:dyDescent="0.25"/>
  <cols>
    <col min="1" max="1" width="9.109375" customWidth="1"/>
    <col min="2" max="2" width="12.88671875" customWidth="1"/>
    <col min="3" max="3" width="22.88671875" customWidth="1"/>
    <col min="4" max="4" width="10" customWidth="1"/>
    <col min="5" max="5" width="14" customWidth="1"/>
    <col min="6" max="6" width="22.88671875" customWidth="1"/>
    <col min="7" max="7" width="9.109375" customWidth="1"/>
    <col min="8" max="8" width="17.109375" customWidth="1"/>
    <col min="9" max="9" width="22.88671875" customWidth="1"/>
  </cols>
  <sheetData>
    <row r="1" spans="1:10" ht="73.05" customHeight="1" x14ac:dyDescent="0.25">
      <c r="A1" s="87"/>
      <c r="B1" s="62"/>
      <c r="C1" s="137" t="s">
        <v>1189</v>
      </c>
      <c r="D1" s="89"/>
      <c r="E1" s="89"/>
      <c r="F1" s="89"/>
      <c r="G1" s="89"/>
      <c r="H1" s="89"/>
      <c r="I1" s="89"/>
    </row>
    <row r="2" spans="1:10" x14ac:dyDescent="0.25">
      <c r="A2" s="90" t="s">
        <v>1</v>
      </c>
      <c r="B2" s="91"/>
      <c r="C2" s="94" t="str">
        <f>'Stavební rozpočet'!C2</f>
        <v>Plynová kotelna pro vytápění MŠ Doubrava</v>
      </c>
      <c r="D2" s="128"/>
      <c r="E2" s="97" t="s">
        <v>1032</v>
      </c>
      <c r="F2" s="97" t="str">
        <f>'Stavební rozpočet'!I2</f>
        <v xml:space="preserve">Obec Doubrava,Doubrava č.p. 599, 735 33 Doubrava_x000D_
</v>
      </c>
      <c r="G2" s="91"/>
      <c r="H2" s="97" t="s">
        <v>1177</v>
      </c>
      <c r="I2" s="138"/>
      <c r="J2" s="5"/>
    </row>
    <row r="3" spans="1:10" x14ac:dyDescent="0.25">
      <c r="A3" s="92"/>
      <c r="B3" s="93"/>
      <c r="C3" s="95"/>
      <c r="D3" s="95"/>
      <c r="E3" s="93"/>
      <c r="F3" s="93"/>
      <c r="G3" s="93"/>
      <c r="H3" s="93"/>
      <c r="I3" s="99"/>
      <c r="J3" s="5"/>
    </row>
    <row r="4" spans="1:10" x14ac:dyDescent="0.25">
      <c r="A4" s="100" t="s">
        <v>2</v>
      </c>
      <c r="B4" s="93"/>
      <c r="C4" s="101" t="str">
        <f>'Stavební rozpočet'!C4</f>
        <v>Občanská vybavenost</v>
      </c>
      <c r="D4" s="93"/>
      <c r="E4" s="101" t="s">
        <v>1033</v>
      </c>
      <c r="F4" s="101" t="str">
        <f>'Stavební rozpočet'!I4</f>
        <v>Ing. Stanislav Wilczek</v>
      </c>
      <c r="G4" s="93"/>
      <c r="H4" s="101" t="s">
        <v>1177</v>
      </c>
      <c r="I4" s="139"/>
      <c r="J4" s="5"/>
    </row>
    <row r="5" spans="1:10" x14ac:dyDescent="0.25">
      <c r="A5" s="92"/>
      <c r="B5" s="93"/>
      <c r="C5" s="93"/>
      <c r="D5" s="93"/>
      <c r="E5" s="93"/>
      <c r="F5" s="93"/>
      <c r="G5" s="93"/>
      <c r="H5" s="93"/>
      <c r="I5" s="99"/>
      <c r="J5" s="5"/>
    </row>
    <row r="6" spans="1:10" x14ac:dyDescent="0.25">
      <c r="A6" s="100" t="s">
        <v>3</v>
      </c>
      <c r="B6" s="93"/>
      <c r="C6" s="101" t="str">
        <f>'Stavební rozpočet'!C6</f>
        <v>Obec Doubrava, č.p. 496,  735 33 Doubrava</v>
      </c>
      <c r="D6" s="93"/>
      <c r="E6" s="101" t="s">
        <v>1034</v>
      </c>
      <c r="F6" s="101" t="str">
        <f>'Stavební rozpočet'!I6</f>
        <v> </v>
      </c>
      <c r="G6" s="93"/>
      <c r="H6" s="101" t="s">
        <v>1177</v>
      </c>
      <c r="I6" s="139"/>
      <c r="J6" s="5"/>
    </row>
    <row r="7" spans="1:10" x14ac:dyDescent="0.25">
      <c r="A7" s="92"/>
      <c r="B7" s="93"/>
      <c r="C7" s="93"/>
      <c r="D7" s="93"/>
      <c r="E7" s="93"/>
      <c r="F7" s="93"/>
      <c r="G7" s="93"/>
      <c r="H7" s="93"/>
      <c r="I7" s="99"/>
      <c r="J7" s="5"/>
    </row>
    <row r="8" spans="1:10" x14ac:dyDescent="0.25">
      <c r="A8" s="100" t="s">
        <v>1013</v>
      </c>
      <c r="B8" s="93"/>
      <c r="C8" s="101" t="str">
        <f>'Stavební rozpočet'!F4</f>
        <v xml:space="preserve"> </v>
      </c>
      <c r="D8" s="93"/>
      <c r="E8" s="101" t="s">
        <v>1014</v>
      </c>
      <c r="F8" s="101" t="str">
        <f>'Stavební rozpočet'!F6</f>
        <v xml:space="preserve"> </v>
      </c>
      <c r="G8" s="93"/>
      <c r="H8" s="102" t="s">
        <v>1178</v>
      </c>
      <c r="I8" s="139" t="s">
        <v>300</v>
      </c>
      <c r="J8" s="5"/>
    </row>
    <row r="9" spans="1:10" x14ac:dyDescent="0.25">
      <c r="A9" s="92"/>
      <c r="B9" s="93"/>
      <c r="C9" s="93"/>
      <c r="D9" s="93"/>
      <c r="E9" s="93"/>
      <c r="F9" s="93"/>
      <c r="G9" s="93"/>
      <c r="H9" s="93"/>
      <c r="I9" s="99"/>
      <c r="J9" s="5"/>
    </row>
    <row r="10" spans="1:10" x14ac:dyDescent="0.25">
      <c r="A10" s="100" t="s">
        <v>4</v>
      </c>
      <c r="B10" s="93"/>
      <c r="C10" s="101">
        <f>'Stavební rozpočet'!C8</f>
        <v>8013212</v>
      </c>
      <c r="D10" s="93"/>
      <c r="E10" s="101" t="s">
        <v>1035</v>
      </c>
      <c r="F10" s="101" t="str">
        <f>'Stavební rozpočet'!I8</f>
        <v>Ing. Stanislav Wilczek</v>
      </c>
      <c r="G10" s="93"/>
      <c r="H10" s="102" t="s">
        <v>1179</v>
      </c>
      <c r="I10" s="142" t="str">
        <f>'Stavební rozpočet'!F8</f>
        <v>19.10.2020</v>
      </c>
      <c r="J10" s="5"/>
    </row>
    <row r="11" spans="1:10" x14ac:dyDescent="0.25">
      <c r="A11" s="140"/>
      <c r="B11" s="141"/>
      <c r="C11" s="141"/>
      <c r="D11" s="141"/>
      <c r="E11" s="141"/>
      <c r="F11" s="141"/>
      <c r="G11" s="141"/>
      <c r="H11" s="141"/>
      <c r="I11" s="143"/>
      <c r="J11" s="5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0" ht="15.15" customHeight="1" x14ac:dyDescent="0.25">
      <c r="A13" s="163" t="s">
        <v>1181</v>
      </c>
      <c r="B13" s="164"/>
      <c r="C13" s="164"/>
      <c r="D13" s="164"/>
      <c r="E13" s="164"/>
      <c r="F13" s="78"/>
      <c r="G13" s="78"/>
      <c r="H13" s="78"/>
      <c r="I13" s="78"/>
    </row>
    <row r="14" spans="1:10" x14ac:dyDescent="0.25">
      <c r="A14" s="165" t="s">
        <v>1182</v>
      </c>
      <c r="B14" s="166"/>
      <c r="C14" s="166"/>
      <c r="D14" s="166"/>
      <c r="E14" s="167"/>
      <c r="F14" s="79" t="s">
        <v>1190</v>
      </c>
      <c r="G14" s="79" t="s">
        <v>1191</v>
      </c>
      <c r="H14" s="79" t="s">
        <v>1192</v>
      </c>
      <c r="I14" s="79" t="s">
        <v>1190</v>
      </c>
      <c r="J14" s="35"/>
    </row>
    <row r="15" spans="1:10" x14ac:dyDescent="0.25">
      <c r="A15" s="168" t="s">
        <v>1154</v>
      </c>
      <c r="B15" s="169"/>
      <c r="C15" s="169"/>
      <c r="D15" s="169"/>
      <c r="E15" s="170"/>
      <c r="F15" s="80">
        <v>0</v>
      </c>
      <c r="G15" s="83"/>
      <c r="H15" s="83"/>
      <c r="I15" s="80">
        <f>F15</f>
        <v>0</v>
      </c>
      <c r="J15" s="5"/>
    </row>
    <row r="16" spans="1:10" x14ac:dyDescent="0.25">
      <c r="A16" s="168" t="s">
        <v>1155</v>
      </c>
      <c r="B16" s="169"/>
      <c r="C16" s="169"/>
      <c r="D16" s="169"/>
      <c r="E16" s="170"/>
      <c r="F16" s="80">
        <v>0</v>
      </c>
      <c r="G16" s="83"/>
      <c r="H16" s="83"/>
      <c r="I16" s="80">
        <f>F16</f>
        <v>0</v>
      </c>
      <c r="J16" s="5"/>
    </row>
    <row r="17" spans="1:10" x14ac:dyDescent="0.25">
      <c r="A17" s="171" t="s">
        <v>1156</v>
      </c>
      <c r="B17" s="172"/>
      <c r="C17" s="172"/>
      <c r="D17" s="172"/>
      <c r="E17" s="173"/>
      <c r="F17" s="81">
        <v>0</v>
      </c>
      <c r="G17" s="84"/>
      <c r="H17" s="84"/>
      <c r="I17" s="81">
        <f>F17</f>
        <v>0</v>
      </c>
      <c r="J17" s="5"/>
    </row>
    <row r="18" spans="1:10" x14ac:dyDescent="0.25">
      <c r="A18" s="174" t="s">
        <v>1183</v>
      </c>
      <c r="B18" s="175"/>
      <c r="C18" s="175"/>
      <c r="D18" s="175"/>
      <c r="E18" s="176"/>
      <c r="F18" s="82"/>
      <c r="G18" s="85"/>
      <c r="H18" s="85"/>
      <c r="I18" s="86">
        <f>SUM(I15:I17)</f>
        <v>0</v>
      </c>
      <c r="J18" s="35"/>
    </row>
    <row r="19" spans="1:10" x14ac:dyDescent="0.25">
      <c r="A19" s="77"/>
      <c r="B19" s="77"/>
      <c r="C19" s="77"/>
      <c r="D19" s="77"/>
      <c r="E19" s="77"/>
      <c r="F19" s="77"/>
      <c r="G19" s="77"/>
      <c r="H19" s="77"/>
      <c r="I19" s="77"/>
    </row>
    <row r="20" spans="1:10" x14ac:dyDescent="0.25">
      <c r="A20" s="165" t="s">
        <v>1180</v>
      </c>
      <c r="B20" s="166"/>
      <c r="C20" s="166"/>
      <c r="D20" s="166"/>
      <c r="E20" s="167"/>
      <c r="F20" s="79" t="s">
        <v>1190</v>
      </c>
      <c r="G20" s="79" t="s">
        <v>1191</v>
      </c>
      <c r="H20" s="79" t="s">
        <v>1192</v>
      </c>
      <c r="I20" s="79" t="s">
        <v>1190</v>
      </c>
      <c r="J20" s="35"/>
    </row>
    <row r="21" spans="1:10" x14ac:dyDescent="0.25">
      <c r="A21" s="168" t="s">
        <v>1164</v>
      </c>
      <c r="B21" s="169"/>
      <c r="C21" s="169"/>
      <c r="D21" s="169"/>
      <c r="E21" s="170"/>
      <c r="F21" s="80">
        <v>0</v>
      </c>
      <c r="G21" s="83"/>
      <c r="H21" s="83"/>
      <c r="I21" s="80">
        <f t="shared" ref="I21:I26" si="0">F21</f>
        <v>0</v>
      </c>
      <c r="J21" s="5"/>
    </row>
    <row r="22" spans="1:10" x14ac:dyDescent="0.25">
      <c r="A22" s="168" t="s">
        <v>1165</v>
      </c>
      <c r="B22" s="169"/>
      <c r="C22" s="169"/>
      <c r="D22" s="169"/>
      <c r="E22" s="170"/>
      <c r="F22" s="80">
        <v>0</v>
      </c>
      <c r="G22" s="83"/>
      <c r="H22" s="83"/>
      <c r="I22" s="80">
        <f t="shared" si="0"/>
        <v>0</v>
      </c>
      <c r="J22" s="5"/>
    </row>
    <row r="23" spans="1:10" x14ac:dyDescent="0.25">
      <c r="A23" s="168" t="s">
        <v>1166</v>
      </c>
      <c r="B23" s="169"/>
      <c r="C23" s="169"/>
      <c r="D23" s="169"/>
      <c r="E23" s="170"/>
      <c r="F23" s="80">
        <v>0</v>
      </c>
      <c r="G23" s="83"/>
      <c r="H23" s="83"/>
      <c r="I23" s="80">
        <f t="shared" si="0"/>
        <v>0</v>
      </c>
      <c r="J23" s="5"/>
    </row>
    <row r="24" spans="1:10" x14ac:dyDescent="0.25">
      <c r="A24" s="168" t="s">
        <v>1167</v>
      </c>
      <c r="B24" s="169"/>
      <c r="C24" s="169"/>
      <c r="D24" s="169"/>
      <c r="E24" s="170"/>
      <c r="F24" s="80">
        <v>0</v>
      </c>
      <c r="G24" s="83"/>
      <c r="H24" s="83"/>
      <c r="I24" s="80">
        <f t="shared" si="0"/>
        <v>0</v>
      </c>
      <c r="J24" s="5"/>
    </row>
    <row r="25" spans="1:10" x14ac:dyDescent="0.25">
      <c r="A25" s="168" t="s">
        <v>1168</v>
      </c>
      <c r="B25" s="169"/>
      <c r="C25" s="169"/>
      <c r="D25" s="169"/>
      <c r="E25" s="170"/>
      <c r="F25" s="80">
        <v>0</v>
      </c>
      <c r="G25" s="83"/>
      <c r="H25" s="83"/>
      <c r="I25" s="80">
        <f t="shared" si="0"/>
        <v>0</v>
      </c>
      <c r="J25" s="5"/>
    </row>
    <row r="26" spans="1:10" x14ac:dyDescent="0.25">
      <c r="A26" s="171" t="s">
        <v>1169</v>
      </c>
      <c r="B26" s="172"/>
      <c r="C26" s="172"/>
      <c r="D26" s="172"/>
      <c r="E26" s="173"/>
      <c r="F26" s="81">
        <v>0</v>
      </c>
      <c r="G26" s="84"/>
      <c r="H26" s="84"/>
      <c r="I26" s="81">
        <f t="shared" si="0"/>
        <v>0</v>
      </c>
      <c r="J26" s="5"/>
    </row>
    <row r="27" spans="1:10" x14ac:dyDescent="0.25">
      <c r="A27" s="174" t="s">
        <v>1184</v>
      </c>
      <c r="B27" s="175"/>
      <c r="C27" s="175"/>
      <c r="D27" s="175"/>
      <c r="E27" s="176"/>
      <c r="F27" s="82"/>
      <c r="G27" s="85"/>
      <c r="H27" s="85"/>
      <c r="I27" s="86">
        <f>SUM(I21:I26)</f>
        <v>0</v>
      </c>
      <c r="J27" s="35"/>
    </row>
    <row r="28" spans="1:10" x14ac:dyDescent="0.25">
      <c r="A28" s="77"/>
      <c r="B28" s="77"/>
      <c r="C28" s="77"/>
      <c r="D28" s="77"/>
      <c r="E28" s="77"/>
      <c r="F28" s="77"/>
      <c r="G28" s="77"/>
      <c r="H28" s="77"/>
      <c r="I28" s="77"/>
    </row>
    <row r="29" spans="1:10" ht="15.15" customHeight="1" x14ac:dyDescent="0.25">
      <c r="A29" s="177" t="s">
        <v>1185</v>
      </c>
      <c r="B29" s="178"/>
      <c r="C29" s="178"/>
      <c r="D29" s="178"/>
      <c r="E29" s="179"/>
      <c r="F29" s="180">
        <f>I18+I27</f>
        <v>0</v>
      </c>
      <c r="G29" s="181"/>
      <c r="H29" s="181"/>
      <c r="I29" s="182"/>
      <c r="J29" s="35"/>
    </row>
    <row r="30" spans="1:10" x14ac:dyDescent="0.25">
      <c r="A30" s="69"/>
      <c r="B30" s="69"/>
      <c r="C30" s="69"/>
      <c r="D30" s="69"/>
      <c r="E30" s="69"/>
      <c r="F30" s="69"/>
      <c r="G30" s="69"/>
      <c r="H30" s="69"/>
      <c r="I30" s="69"/>
    </row>
    <row r="33" spans="1:10" ht="15.15" customHeight="1" x14ac:dyDescent="0.25">
      <c r="A33" s="163" t="s">
        <v>1186</v>
      </c>
      <c r="B33" s="164"/>
      <c r="C33" s="164"/>
      <c r="D33" s="164"/>
      <c r="E33" s="164"/>
      <c r="F33" s="78"/>
      <c r="G33" s="78"/>
      <c r="H33" s="78"/>
      <c r="I33" s="78"/>
    </row>
    <row r="34" spans="1:10" x14ac:dyDescent="0.25">
      <c r="A34" s="165" t="s">
        <v>1187</v>
      </c>
      <c r="B34" s="166"/>
      <c r="C34" s="166"/>
      <c r="D34" s="166"/>
      <c r="E34" s="167"/>
      <c r="F34" s="79" t="s">
        <v>1190</v>
      </c>
      <c r="G34" s="79" t="s">
        <v>1191</v>
      </c>
      <c r="H34" s="79" t="s">
        <v>1192</v>
      </c>
      <c r="I34" s="79" t="s">
        <v>1190</v>
      </c>
      <c r="J34" s="35"/>
    </row>
    <row r="35" spans="1:10" x14ac:dyDescent="0.25">
      <c r="A35" s="171"/>
      <c r="B35" s="172"/>
      <c r="C35" s="172"/>
      <c r="D35" s="172"/>
      <c r="E35" s="173"/>
      <c r="F35" s="81">
        <v>0</v>
      </c>
      <c r="G35" s="84"/>
      <c r="H35" s="84"/>
      <c r="I35" s="81">
        <f>F35</f>
        <v>0</v>
      </c>
      <c r="J35" s="5"/>
    </row>
    <row r="36" spans="1:10" x14ac:dyDescent="0.25">
      <c r="A36" s="174" t="s">
        <v>1188</v>
      </c>
      <c r="B36" s="175"/>
      <c r="C36" s="175"/>
      <c r="D36" s="175"/>
      <c r="E36" s="176"/>
      <c r="F36" s="82"/>
      <c r="G36" s="85"/>
      <c r="H36" s="85"/>
      <c r="I36" s="86">
        <f>SUM(I35:I35)</f>
        <v>0</v>
      </c>
      <c r="J36" s="35"/>
    </row>
    <row r="37" spans="1:10" x14ac:dyDescent="0.25">
      <c r="A37" s="69"/>
      <c r="B37" s="69"/>
      <c r="C37" s="69"/>
      <c r="D37" s="69"/>
      <c r="E37" s="69"/>
      <c r="F37" s="69"/>
      <c r="G37" s="69"/>
      <c r="H37" s="69"/>
      <c r="I37" s="69"/>
    </row>
  </sheetData>
  <mergeCells count="51">
    <mergeCell ref="A35:E35"/>
    <mergeCell ref="A36:E36"/>
    <mergeCell ref="A26:E26"/>
    <mergeCell ref="A27:E27"/>
    <mergeCell ref="A29:E29"/>
    <mergeCell ref="F29:I29"/>
    <mergeCell ref="A33:E33"/>
    <mergeCell ref="A34:E34"/>
    <mergeCell ref="A20:E20"/>
    <mergeCell ref="A21:E21"/>
    <mergeCell ref="A22:E22"/>
    <mergeCell ref="A23:E23"/>
    <mergeCell ref="A24:E24"/>
    <mergeCell ref="A25:E25"/>
    <mergeCell ref="A13:E13"/>
    <mergeCell ref="A14:E14"/>
    <mergeCell ref="A15:E15"/>
    <mergeCell ref="A16:E16"/>
    <mergeCell ref="A17:E17"/>
    <mergeCell ref="A18:E18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8:I9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I4:I5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Stavební rozpočet</vt:lpstr>
      <vt:lpstr>Stavební rozpočet - součet</vt:lpstr>
      <vt:lpstr>Výkaz výměr</vt:lpstr>
      <vt:lpstr>Krycí list rozpočtu</vt:lpstr>
      <vt:lpstr>VORN</vt:lpstr>
      <vt:lpstr>vorn_sum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Stanislav Wilczek</cp:lastModifiedBy>
  <dcterms:created xsi:type="dcterms:W3CDTF">2020-12-05T10:08:33Z</dcterms:created>
  <dcterms:modified xsi:type="dcterms:W3CDTF">2020-12-05T10:08:33Z</dcterms:modified>
</cp:coreProperties>
</file>